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ackup 2022\Documents\2022 TRAFFIC\"/>
    </mc:Choice>
  </mc:AlternateContent>
  <bookViews>
    <workbookView xWindow="0" yWindow="0" windowWidth="28800" windowHeight="118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3" i="1" l="1"/>
  <c r="AF33" i="1"/>
  <c r="AC33" i="1"/>
  <c r="Z33" i="1"/>
  <c r="W33" i="1"/>
  <c r="T33" i="1"/>
  <c r="Q33" i="1"/>
  <c r="N33" i="1"/>
  <c r="K33" i="1"/>
  <c r="L33" i="1" s="1"/>
  <c r="H33" i="1"/>
  <c r="I33" i="1" s="1"/>
  <c r="E33" i="1"/>
  <c r="F33" i="1" s="1"/>
  <c r="B33" i="1"/>
  <c r="C33" i="1" s="1"/>
  <c r="AI32" i="1"/>
  <c r="AF32" i="1"/>
  <c r="AC32" i="1"/>
  <c r="Z32" i="1"/>
  <c r="W32" i="1"/>
  <c r="T32" i="1"/>
  <c r="Q32" i="1"/>
  <c r="N32" i="1"/>
  <c r="K32" i="1"/>
  <c r="H32" i="1"/>
  <c r="E32" i="1"/>
  <c r="F32" i="1" s="1"/>
  <c r="B32" i="1"/>
  <c r="C32" i="1" s="1"/>
  <c r="AI31" i="1"/>
  <c r="AF31" i="1"/>
  <c r="AC31" i="1"/>
  <c r="Z31" i="1"/>
  <c r="W31" i="1"/>
  <c r="T31" i="1"/>
  <c r="Q31" i="1"/>
  <c r="N31" i="1"/>
  <c r="K31" i="1"/>
  <c r="H31" i="1"/>
  <c r="E31" i="1"/>
  <c r="B31" i="1"/>
  <c r="C31" i="1" s="1"/>
  <c r="AI30" i="1"/>
  <c r="AF30" i="1"/>
  <c r="AC30" i="1"/>
  <c r="Z30" i="1"/>
  <c r="W30" i="1"/>
  <c r="T30" i="1"/>
  <c r="Q30" i="1"/>
  <c r="N30" i="1"/>
  <c r="K30" i="1"/>
  <c r="H30" i="1"/>
  <c r="E30" i="1"/>
  <c r="B30" i="1"/>
  <c r="C30" i="1" s="1"/>
  <c r="AI29" i="1"/>
  <c r="AF29" i="1"/>
  <c r="AC29" i="1"/>
  <c r="Z29" i="1"/>
  <c r="W29" i="1"/>
  <c r="T29" i="1"/>
  <c r="Q29" i="1"/>
  <c r="N29" i="1"/>
  <c r="K29" i="1"/>
  <c r="H29" i="1"/>
  <c r="E29" i="1"/>
  <c r="F29" i="1" s="1"/>
  <c r="B29" i="1"/>
  <c r="C29" i="1" s="1"/>
  <c r="AI28" i="1"/>
  <c r="AF28" i="1"/>
  <c r="AC28" i="1"/>
  <c r="Z28" i="1"/>
  <c r="W28" i="1"/>
  <c r="T28" i="1"/>
  <c r="Q28" i="1"/>
  <c r="N28" i="1"/>
  <c r="K28" i="1"/>
  <c r="H28" i="1"/>
  <c r="E28" i="1"/>
  <c r="B28" i="1"/>
  <c r="C28" i="1" s="1"/>
  <c r="AI27" i="1"/>
  <c r="AF27" i="1"/>
  <c r="AC27" i="1"/>
  <c r="Z27" i="1"/>
  <c r="W27" i="1"/>
  <c r="T27" i="1"/>
  <c r="Q27" i="1"/>
  <c r="N27" i="1"/>
  <c r="K27" i="1"/>
  <c r="H27" i="1"/>
  <c r="I27" i="1" s="1"/>
  <c r="L27" i="1" s="1"/>
  <c r="E27" i="1"/>
  <c r="F27" i="1" s="1"/>
  <c r="B27" i="1"/>
  <c r="C27" i="1" s="1"/>
  <c r="AI26" i="1"/>
  <c r="AF26" i="1"/>
  <c r="AC26" i="1"/>
  <c r="Z26" i="1"/>
  <c r="W26" i="1"/>
  <c r="T26" i="1"/>
  <c r="Q26" i="1"/>
  <c r="N26" i="1"/>
  <c r="K26" i="1"/>
  <c r="H26" i="1"/>
  <c r="E26" i="1"/>
  <c r="B26" i="1"/>
  <c r="C26" i="1" s="1"/>
  <c r="AI25" i="1"/>
  <c r="AF25" i="1"/>
  <c r="AC25" i="1"/>
  <c r="Z25" i="1"/>
  <c r="W25" i="1"/>
  <c r="T25" i="1"/>
  <c r="Q25" i="1"/>
  <c r="N25" i="1"/>
  <c r="K25" i="1"/>
  <c r="H25" i="1"/>
  <c r="E25" i="1"/>
  <c r="B25" i="1"/>
  <c r="C25" i="1" s="1"/>
  <c r="AI24" i="1"/>
  <c r="AF24" i="1"/>
  <c r="AC24" i="1"/>
  <c r="Z24" i="1"/>
  <c r="W24" i="1"/>
  <c r="T24" i="1"/>
  <c r="Q24" i="1"/>
  <c r="N24" i="1"/>
  <c r="K24" i="1"/>
  <c r="H24" i="1"/>
  <c r="I24" i="1" s="1"/>
  <c r="L24" i="1" s="1"/>
  <c r="E24" i="1"/>
  <c r="F24" i="1" s="1"/>
  <c r="B24" i="1"/>
  <c r="C24" i="1" s="1"/>
  <c r="AI23" i="1"/>
  <c r="AF23" i="1"/>
  <c r="AC23" i="1"/>
  <c r="Z23" i="1"/>
  <c r="W23" i="1"/>
  <c r="T23" i="1"/>
  <c r="Q23" i="1"/>
  <c r="N23" i="1"/>
  <c r="K23" i="1"/>
  <c r="H23" i="1"/>
  <c r="E23" i="1"/>
  <c r="F23" i="1" s="1"/>
  <c r="B23" i="1"/>
  <c r="C23" i="1" s="1"/>
  <c r="AI22" i="1"/>
  <c r="AF22" i="1"/>
  <c r="AC22" i="1"/>
  <c r="Z22" i="1"/>
  <c r="W22" i="1"/>
  <c r="T22" i="1"/>
  <c r="Q22" i="1"/>
  <c r="N22" i="1"/>
  <c r="K22" i="1"/>
  <c r="H22" i="1"/>
  <c r="E22" i="1"/>
  <c r="B22" i="1"/>
  <c r="C22" i="1" s="1"/>
  <c r="AI21" i="1"/>
  <c r="AF21" i="1"/>
  <c r="AC21" i="1"/>
  <c r="Z21" i="1"/>
  <c r="W21" i="1"/>
  <c r="T21" i="1"/>
  <c r="Q21" i="1"/>
  <c r="N21" i="1"/>
  <c r="K21" i="1"/>
  <c r="H21" i="1"/>
  <c r="E21" i="1"/>
  <c r="F21" i="1" s="1"/>
  <c r="B21" i="1"/>
  <c r="C21" i="1" s="1"/>
  <c r="AI20" i="1"/>
  <c r="AF20" i="1"/>
  <c r="AC20" i="1"/>
  <c r="Z20" i="1"/>
  <c r="W20" i="1"/>
  <c r="T20" i="1"/>
  <c r="Q20" i="1"/>
  <c r="N20" i="1"/>
  <c r="K20" i="1"/>
  <c r="H20" i="1"/>
  <c r="E20" i="1"/>
  <c r="B20" i="1"/>
  <c r="C20" i="1" s="1"/>
  <c r="AI19" i="1"/>
  <c r="AF19" i="1"/>
  <c r="AC19" i="1"/>
  <c r="Z19" i="1"/>
  <c r="W19" i="1"/>
  <c r="T19" i="1"/>
  <c r="Q19" i="1"/>
  <c r="N19" i="1"/>
  <c r="K19" i="1"/>
  <c r="H19" i="1"/>
  <c r="E19" i="1"/>
  <c r="B19" i="1"/>
  <c r="C19" i="1" s="1"/>
  <c r="AI18" i="1"/>
  <c r="AF18" i="1"/>
  <c r="AC18" i="1"/>
  <c r="Z18" i="1"/>
  <c r="W18" i="1"/>
  <c r="T18" i="1"/>
  <c r="Q18" i="1"/>
  <c r="N18" i="1"/>
  <c r="K18" i="1"/>
  <c r="H18" i="1"/>
  <c r="E18" i="1"/>
  <c r="B18" i="1"/>
  <c r="C18" i="1" s="1"/>
  <c r="AI17" i="1"/>
  <c r="AF17" i="1"/>
  <c r="AC17" i="1"/>
  <c r="Z17" i="1"/>
  <c r="W17" i="1"/>
  <c r="T17" i="1"/>
  <c r="Q17" i="1"/>
  <c r="N17" i="1"/>
  <c r="K17" i="1"/>
  <c r="H17" i="1"/>
  <c r="E17" i="1"/>
  <c r="B17" i="1"/>
  <c r="C17" i="1" s="1"/>
  <c r="AI16" i="1"/>
  <c r="AF16" i="1"/>
  <c r="AC16" i="1"/>
  <c r="Z16" i="1"/>
  <c r="W16" i="1"/>
  <c r="T16" i="1"/>
  <c r="Q16" i="1"/>
  <c r="N16" i="1"/>
  <c r="K16" i="1"/>
  <c r="H16" i="1"/>
  <c r="E16" i="1"/>
  <c r="B16" i="1"/>
  <c r="C16" i="1" s="1"/>
  <c r="AI15" i="1"/>
  <c r="AF15" i="1"/>
  <c r="AC15" i="1"/>
  <c r="Z15" i="1"/>
  <c r="W15" i="1"/>
  <c r="T15" i="1"/>
  <c r="Q15" i="1"/>
  <c r="N15" i="1"/>
  <c r="K15" i="1"/>
  <c r="H15" i="1"/>
  <c r="E15" i="1"/>
  <c r="F15" i="1" s="1"/>
  <c r="B15" i="1"/>
  <c r="C15" i="1" s="1"/>
  <c r="AI14" i="1"/>
  <c r="AF14" i="1"/>
  <c r="AC14" i="1"/>
  <c r="Z14" i="1"/>
  <c r="W14" i="1"/>
  <c r="T14" i="1"/>
  <c r="Q14" i="1"/>
  <c r="N14" i="1"/>
  <c r="K14" i="1"/>
  <c r="H14" i="1"/>
  <c r="E14" i="1"/>
  <c r="B14" i="1"/>
  <c r="C14" i="1" s="1"/>
  <c r="AI13" i="1"/>
  <c r="AF13" i="1"/>
  <c r="AC13" i="1"/>
  <c r="Z13" i="1"/>
  <c r="W13" i="1"/>
  <c r="T13" i="1"/>
  <c r="Q13" i="1"/>
  <c r="N13" i="1"/>
  <c r="K13" i="1"/>
  <c r="H13" i="1"/>
  <c r="E13" i="1"/>
  <c r="B13" i="1"/>
  <c r="C13" i="1" s="1"/>
  <c r="F13" i="1" s="1"/>
  <c r="AI12" i="1"/>
  <c r="AF12" i="1"/>
  <c r="AC12" i="1"/>
  <c r="Z12" i="1"/>
  <c r="W12" i="1"/>
  <c r="T12" i="1"/>
  <c r="Q12" i="1"/>
  <c r="N12" i="1"/>
  <c r="K12" i="1"/>
  <c r="H12" i="1"/>
  <c r="F12" i="1"/>
  <c r="E12" i="1"/>
  <c r="B12" i="1"/>
  <c r="C12" i="1" s="1"/>
  <c r="AI11" i="1"/>
  <c r="AF11" i="1"/>
  <c r="AC11" i="1"/>
  <c r="Z11" i="1"/>
  <c r="W11" i="1"/>
  <c r="T11" i="1"/>
  <c r="Q11" i="1"/>
  <c r="N11" i="1"/>
  <c r="K11" i="1"/>
  <c r="H11" i="1"/>
  <c r="E11" i="1"/>
  <c r="F11" i="1" s="1"/>
  <c r="B11" i="1"/>
  <c r="C11" i="1" s="1"/>
  <c r="AI10" i="1"/>
  <c r="AF10" i="1"/>
  <c r="AC10" i="1"/>
  <c r="Z10" i="1"/>
  <c r="W10" i="1"/>
  <c r="T10" i="1"/>
  <c r="Q10" i="1"/>
  <c r="N10" i="1"/>
  <c r="K10" i="1"/>
  <c r="H10" i="1"/>
  <c r="E10" i="1"/>
  <c r="F10" i="1" s="1"/>
  <c r="B10" i="1"/>
  <c r="C10" i="1" s="1"/>
  <c r="AI9" i="1"/>
  <c r="AF9" i="1"/>
  <c r="AC9" i="1"/>
  <c r="Z9" i="1"/>
  <c r="W9" i="1"/>
  <c r="T9" i="1"/>
  <c r="Q9" i="1"/>
  <c r="N9" i="1"/>
  <c r="K9" i="1"/>
  <c r="H9" i="1"/>
  <c r="E9" i="1"/>
  <c r="B9" i="1"/>
  <c r="C9" i="1" s="1"/>
  <c r="AI8" i="1"/>
  <c r="AF8" i="1"/>
  <c r="AC8" i="1"/>
  <c r="Z8" i="1"/>
  <c r="W8" i="1"/>
  <c r="T8" i="1"/>
  <c r="Q8" i="1"/>
  <c r="N8" i="1"/>
  <c r="K8" i="1"/>
  <c r="H8" i="1"/>
  <c r="E8" i="1"/>
  <c r="F8" i="1" s="1"/>
  <c r="B8" i="1"/>
  <c r="C8" i="1" s="1"/>
  <c r="AI7" i="1"/>
  <c r="AF7" i="1"/>
  <c r="AC7" i="1"/>
  <c r="Z7" i="1"/>
  <c r="W7" i="1"/>
  <c r="T7" i="1"/>
  <c r="Q7" i="1"/>
  <c r="N7" i="1"/>
  <c r="K7" i="1"/>
  <c r="H7" i="1"/>
  <c r="E7" i="1"/>
  <c r="B7" i="1"/>
  <c r="C7" i="1" s="1"/>
  <c r="AI6" i="1"/>
  <c r="AF6" i="1"/>
  <c r="AC6" i="1"/>
  <c r="Z6" i="1"/>
  <c r="W6" i="1"/>
  <c r="T6" i="1"/>
  <c r="Q6" i="1"/>
  <c r="N6" i="1"/>
  <c r="K6" i="1"/>
  <c r="H6" i="1"/>
  <c r="E6" i="1"/>
  <c r="F6" i="1" s="1"/>
  <c r="B6" i="1"/>
  <c r="C6" i="1" s="1"/>
  <c r="AI5" i="1"/>
  <c r="AF5" i="1"/>
  <c r="AC5" i="1"/>
  <c r="Z5" i="1"/>
  <c r="W5" i="1"/>
  <c r="T5" i="1"/>
  <c r="Q5" i="1"/>
  <c r="N5" i="1"/>
  <c r="K5" i="1"/>
  <c r="H5" i="1"/>
  <c r="E5" i="1"/>
  <c r="B5" i="1"/>
  <c r="C5" i="1" s="1"/>
  <c r="AI4" i="1"/>
  <c r="AI34" i="1" s="1"/>
  <c r="AF4" i="1"/>
  <c r="AC4" i="1"/>
  <c r="AC34" i="1" s="1"/>
  <c r="Z4" i="1"/>
  <c r="Z34" i="1" s="1"/>
  <c r="W4" i="1"/>
  <c r="T4" i="1"/>
  <c r="Q4" i="1"/>
  <c r="N4" i="1"/>
  <c r="K4" i="1"/>
  <c r="K34" i="1" s="1"/>
  <c r="H4" i="1"/>
  <c r="E4" i="1"/>
  <c r="B4" i="1"/>
  <c r="L8" i="1" l="1"/>
  <c r="I8" i="1"/>
  <c r="O8" i="1"/>
  <c r="R8" i="1" s="1"/>
  <c r="U8" i="1" s="1"/>
  <c r="X8" i="1" s="1"/>
  <c r="AA8" i="1" s="1"/>
  <c r="AD8" i="1" s="1"/>
  <c r="AG8" i="1" s="1"/>
  <c r="AJ8" i="1" s="1"/>
  <c r="I6" i="1"/>
  <c r="L6" i="1" s="1"/>
  <c r="O6" i="1" s="1"/>
  <c r="R6" i="1" s="1"/>
  <c r="U6" i="1" s="1"/>
  <c r="X6" i="1" s="1"/>
  <c r="AA6" i="1" s="1"/>
  <c r="AD6" i="1" s="1"/>
  <c r="AG6" i="1" s="1"/>
  <c r="AJ6" i="1" s="1"/>
  <c r="F5" i="1"/>
  <c r="F7" i="1"/>
  <c r="I7" i="1" s="1"/>
  <c r="L7" i="1" s="1"/>
  <c r="O7" i="1" s="1"/>
  <c r="R7" i="1" s="1"/>
  <c r="U7" i="1" s="1"/>
  <c r="X7" i="1" s="1"/>
  <c r="AA7" i="1" s="1"/>
  <c r="AD7" i="1" s="1"/>
  <c r="AG7" i="1" s="1"/>
  <c r="AJ7" i="1" s="1"/>
  <c r="F9" i="1"/>
  <c r="L12" i="1"/>
  <c r="I5" i="1"/>
  <c r="L5" i="1" s="1"/>
  <c r="O5" i="1" s="1"/>
  <c r="R5" i="1" s="1"/>
  <c r="U5" i="1" s="1"/>
  <c r="X5" i="1" s="1"/>
  <c r="AA5" i="1" s="1"/>
  <c r="AD5" i="1" s="1"/>
  <c r="AG5" i="1" s="1"/>
  <c r="AJ5" i="1" s="1"/>
  <c r="I9" i="1"/>
  <c r="L9" i="1" s="1"/>
  <c r="O9" i="1" s="1"/>
  <c r="R9" i="1" s="1"/>
  <c r="U9" i="1" s="1"/>
  <c r="X9" i="1" s="1"/>
  <c r="AA9" i="1" s="1"/>
  <c r="AD9" i="1" s="1"/>
  <c r="AG9" i="1" s="1"/>
  <c r="AJ9" i="1" s="1"/>
  <c r="L11" i="1"/>
  <c r="L15" i="1"/>
  <c r="O15" i="1" s="1"/>
  <c r="R15" i="1" s="1"/>
  <c r="U15" i="1" s="1"/>
  <c r="X15" i="1" s="1"/>
  <c r="AA15" i="1" s="1"/>
  <c r="AD15" i="1" s="1"/>
  <c r="AG15" i="1" s="1"/>
  <c r="AJ15" i="1" s="1"/>
  <c r="L21" i="1"/>
  <c r="L23" i="1"/>
  <c r="I12" i="1"/>
  <c r="F14" i="1"/>
  <c r="I15" i="1"/>
  <c r="F22" i="1"/>
  <c r="I22" i="1" s="1"/>
  <c r="L22" i="1" s="1"/>
  <c r="O22" i="1" s="1"/>
  <c r="R22" i="1" s="1"/>
  <c r="U22" i="1" s="1"/>
  <c r="X22" i="1" s="1"/>
  <c r="AA22" i="1" s="1"/>
  <c r="AD22" i="1" s="1"/>
  <c r="AG22" i="1" s="1"/>
  <c r="AJ22" i="1" s="1"/>
  <c r="I23" i="1"/>
  <c r="R27" i="1"/>
  <c r="U27" i="1" s="1"/>
  <c r="X27" i="1" s="1"/>
  <c r="AA27" i="1" s="1"/>
  <c r="AD27" i="1" s="1"/>
  <c r="AG27" i="1" s="1"/>
  <c r="AJ27" i="1" s="1"/>
  <c r="F30" i="1"/>
  <c r="N34" i="1"/>
  <c r="N35" i="1" s="1"/>
  <c r="N37" i="1" s="1"/>
  <c r="N38" i="1" s="1"/>
  <c r="O11" i="1"/>
  <c r="R11" i="1" s="1"/>
  <c r="U11" i="1" s="1"/>
  <c r="X11" i="1" s="1"/>
  <c r="AA11" i="1" s="1"/>
  <c r="AD11" i="1" s="1"/>
  <c r="AG11" i="1" s="1"/>
  <c r="AJ11" i="1" s="1"/>
  <c r="I14" i="1"/>
  <c r="L14" i="1" s="1"/>
  <c r="O14" i="1" s="1"/>
  <c r="R14" i="1" s="1"/>
  <c r="U14" i="1" s="1"/>
  <c r="X14" i="1" s="1"/>
  <c r="AA14" i="1" s="1"/>
  <c r="AD14" i="1" s="1"/>
  <c r="AG14" i="1" s="1"/>
  <c r="AJ14" i="1" s="1"/>
  <c r="I30" i="1"/>
  <c r="L30" i="1" s="1"/>
  <c r="O30" i="1" s="1"/>
  <c r="R30" i="1" s="1"/>
  <c r="U30" i="1" s="1"/>
  <c r="X30" i="1" s="1"/>
  <c r="AA30" i="1" s="1"/>
  <c r="AD30" i="1" s="1"/>
  <c r="AG30" i="1" s="1"/>
  <c r="AJ30" i="1" s="1"/>
  <c r="O33" i="1"/>
  <c r="R33" i="1" s="1"/>
  <c r="U33" i="1" s="1"/>
  <c r="X33" i="1" s="1"/>
  <c r="AA33" i="1" s="1"/>
  <c r="AD33" i="1" s="1"/>
  <c r="AG33" i="1" s="1"/>
  <c r="AJ33" i="1" s="1"/>
  <c r="Q34" i="1"/>
  <c r="Z35" i="1"/>
  <c r="Z37" i="1" s="1"/>
  <c r="Z38" i="1" s="1"/>
  <c r="I13" i="1"/>
  <c r="L13" i="1" s="1"/>
  <c r="O13" i="1" s="1"/>
  <c r="R13" i="1" s="1"/>
  <c r="U13" i="1" s="1"/>
  <c r="X13" i="1" s="1"/>
  <c r="AA13" i="1" s="1"/>
  <c r="AD13" i="1" s="1"/>
  <c r="AG13" i="1" s="1"/>
  <c r="AJ13" i="1" s="1"/>
  <c r="F20" i="1"/>
  <c r="I21" i="1"/>
  <c r="O24" i="1"/>
  <c r="R24" i="1" s="1"/>
  <c r="U24" i="1" s="1"/>
  <c r="X24" i="1" s="1"/>
  <c r="AA24" i="1" s="1"/>
  <c r="AD24" i="1" s="1"/>
  <c r="AG24" i="1" s="1"/>
  <c r="AJ24" i="1" s="1"/>
  <c r="F28" i="1"/>
  <c r="I29" i="1"/>
  <c r="L29" i="1" s="1"/>
  <c r="O29" i="1" s="1"/>
  <c r="R29" i="1" s="1"/>
  <c r="U29" i="1" s="1"/>
  <c r="X29" i="1" s="1"/>
  <c r="AA29" i="1" s="1"/>
  <c r="AD29" i="1" s="1"/>
  <c r="AG29" i="1" s="1"/>
  <c r="AJ29" i="1" s="1"/>
  <c r="T34" i="1"/>
  <c r="AC35" i="1"/>
  <c r="AC37" i="1" s="1"/>
  <c r="AC38" i="1" s="1"/>
  <c r="O12" i="1"/>
  <c r="R12" i="1" s="1"/>
  <c r="F19" i="1"/>
  <c r="I19" i="1" s="1"/>
  <c r="L19" i="1" s="1"/>
  <c r="O19" i="1" s="1"/>
  <c r="R19" i="1" s="1"/>
  <c r="U19" i="1" s="1"/>
  <c r="X19" i="1" s="1"/>
  <c r="AA19" i="1" s="1"/>
  <c r="AD19" i="1" s="1"/>
  <c r="AG19" i="1" s="1"/>
  <c r="AJ19" i="1" s="1"/>
  <c r="I20" i="1"/>
  <c r="L20" i="1" s="1"/>
  <c r="O20" i="1" s="1"/>
  <c r="R20" i="1" s="1"/>
  <c r="U20" i="1" s="1"/>
  <c r="X20" i="1" s="1"/>
  <c r="AA20" i="1" s="1"/>
  <c r="AD20" i="1" s="1"/>
  <c r="AG20" i="1" s="1"/>
  <c r="AJ20" i="1" s="1"/>
  <c r="O23" i="1"/>
  <c r="R23" i="1" s="1"/>
  <c r="U23" i="1" s="1"/>
  <c r="X23" i="1" s="1"/>
  <c r="AA23" i="1" s="1"/>
  <c r="AD23" i="1" s="1"/>
  <c r="AG23" i="1" s="1"/>
  <c r="AJ23" i="1" s="1"/>
  <c r="I28" i="1"/>
  <c r="L28" i="1" s="1"/>
  <c r="O28" i="1" s="1"/>
  <c r="R28" i="1" s="1"/>
  <c r="U28" i="1" s="1"/>
  <c r="X28" i="1" s="1"/>
  <c r="AA28" i="1" s="1"/>
  <c r="AD28" i="1" s="1"/>
  <c r="AG28" i="1" s="1"/>
  <c r="AJ28" i="1" s="1"/>
  <c r="B34" i="1"/>
  <c r="C34" i="1" s="1"/>
  <c r="W34" i="1"/>
  <c r="W35" i="1" s="1"/>
  <c r="W37" i="1" s="1"/>
  <c r="W38" i="1" s="1"/>
  <c r="K35" i="1"/>
  <c r="K37" i="1" s="1"/>
  <c r="K38" i="1" s="1"/>
  <c r="AI35" i="1"/>
  <c r="AI37" i="1" s="1"/>
  <c r="AI38" i="1" s="1"/>
  <c r="C4" i="1"/>
  <c r="F4" i="1" s="1"/>
  <c r="I10" i="1"/>
  <c r="L10" i="1" s="1"/>
  <c r="O10" i="1" s="1"/>
  <c r="R10" i="1" s="1"/>
  <c r="U10" i="1" s="1"/>
  <c r="X10" i="1" s="1"/>
  <c r="AA10" i="1" s="1"/>
  <c r="AD10" i="1" s="1"/>
  <c r="AG10" i="1" s="1"/>
  <c r="AJ10" i="1" s="1"/>
  <c r="F18" i="1"/>
  <c r="F26" i="1"/>
  <c r="E34" i="1"/>
  <c r="F17" i="1"/>
  <c r="I18" i="1"/>
  <c r="L18" i="1" s="1"/>
  <c r="O18" i="1" s="1"/>
  <c r="R18" i="1" s="1"/>
  <c r="U18" i="1" s="1"/>
  <c r="X18" i="1" s="1"/>
  <c r="AA18" i="1" s="1"/>
  <c r="AD18" i="1" s="1"/>
  <c r="AG18" i="1" s="1"/>
  <c r="AJ18" i="1" s="1"/>
  <c r="O21" i="1"/>
  <c r="F25" i="1"/>
  <c r="I26" i="1"/>
  <c r="L26" i="1" s="1"/>
  <c r="O26" i="1" s="1"/>
  <c r="R26" i="1" s="1"/>
  <c r="U26" i="1" s="1"/>
  <c r="X26" i="1" s="1"/>
  <c r="AA26" i="1" s="1"/>
  <c r="AD26" i="1" s="1"/>
  <c r="AG26" i="1" s="1"/>
  <c r="AJ26" i="1" s="1"/>
  <c r="H34" i="1"/>
  <c r="H35" i="1" s="1"/>
  <c r="H37" i="1" s="1"/>
  <c r="H38" i="1" s="1"/>
  <c r="I11" i="1"/>
  <c r="U12" i="1"/>
  <c r="X12" i="1" s="1"/>
  <c r="AA12" i="1" s="1"/>
  <c r="AD12" i="1" s="1"/>
  <c r="AG12" i="1" s="1"/>
  <c r="AJ12" i="1" s="1"/>
  <c r="F16" i="1"/>
  <c r="I16" i="1" s="1"/>
  <c r="L16" i="1" s="1"/>
  <c r="O16" i="1" s="1"/>
  <c r="R16" i="1" s="1"/>
  <c r="U16" i="1" s="1"/>
  <c r="X16" i="1" s="1"/>
  <c r="AA16" i="1" s="1"/>
  <c r="AD16" i="1" s="1"/>
  <c r="AG16" i="1" s="1"/>
  <c r="AJ16" i="1" s="1"/>
  <c r="I17" i="1"/>
  <c r="L17" i="1" s="1"/>
  <c r="O17" i="1" s="1"/>
  <c r="R17" i="1" s="1"/>
  <c r="U17" i="1" s="1"/>
  <c r="X17" i="1" s="1"/>
  <c r="AA17" i="1" s="1"/>
  <c r="AD17" i="1" s="1"/>
  <c r="AG17" i="1" s="1"/>
  <c r="AJ17" i="1" s="1"/>
  <c r="R21" i="1"/>
  <c r="U21" i="1" s="1"/>
  <c r="X21" i="1" s="1"/>
  <c r="AA21" i="1" s="1"/>
  <c r="AD21" i="1" s="1"/>
  <c r="AG21" i="1" s="1"/>
  <c r="AJ21" i="1" s="1"/>
  <c r="I25" i="1"/>
  <c r="L25" i="1" s="1"/>
  <c r="O25" i="1" s="1"/>
  <c r="R25" i="1" s="1"/>
  <c r="U25" i="1" s="1"/>
  <c r="X25" i="1" s="1"/>
  <c r="AA25" i="1" s="1"/>
  <c r="AD25" i="1" s="1"/>
  <c r="AG25" i="1" s="1"/>
  <c r="AJ25" i="1" s="1"/>
  <c r="AF34" i="1"/>
  <c r="AF35" i="1" s="1"/>
  <c r="AF37" i="1" s="1"/>
  <c r="AF38" i="1" s="1"/>
  <c r="O27" i="1"/>
  <c r="F31" i="1"/>
  <c r="I31" i="1" s="1"/>
  <c r="L31" i="1" s="1"/>
  <c r="O31" i="1" s="1"/>
  <c r="R31" i="1" s="1"/>
  <c r="U31" i="1" s="1"/>
  <c r="X31" i="1" s="1"/>
  <c r="AA31" i="1" s="1"/>
  <c r="AD31" i="1" s="1"/>
  <c r="AG31" i="1" s="1"/>
  <c r="AJ31" i="1" s="1"/>
  <c r="I32" i="1"/>
  <c r="L32" i="1" s="1"/>
  <c r="O32" i="1" s="1"/>
  <c r="R32" i="1" s="1"/>
  <c r="U32" i="1" s="1"/>
  <c r="X32" i="1" s="1"/>
  <c r="AA32" i="1" s="1"/>
  <c r="AD32" i="1" s="1"/>
  <c r="AG32" i="1" s="1"/>
  <c r="AJ32" i="1" s="1"/>
  <c r="I4" i="1" l="1"/>
  <c r="F34" i="1"/>
  <c r="F35" i="1" s="1"/>
  <c r="F37" i="1" s="1"/>
  <c r="F38" i="1" s="1"/>
  <c r="I34" i="1"/>
  <c r="L34" i="1" s="1"/>
  <c r="O34" i="1" s="1"/>
  <c r="R34" i="1" s="1"/>
  <c r="U34" i="1" s="1"/>
  <c r="X34" i="1" s="1"/>
  <c r="AA34" i="1" s="1"/>
  <c r="AD34" i="1" s="1"/>
  <c r="AG34" i="1" s="1"/>
  <c r="AJ34" i="1" s="1"/>
  <c r="T35" i="1"/>
  <c r="T37" i="1" s="1"/>
  <c r="T38" i="1" s="1"/>
  <c r="B35" i="1"/>
  <c r="B37" i="1" s="1"/>
  <c r="B38" i="1" s="1"/>
  <c r="C35" i="1"/>
  <c r="C37" i="1" s="1"/>
  <c r="C38" i="1" s="1"/>
  <c r="Q35" i="1"/>
  <c r="Q37" i="1" s="1"/>
  <c r="Q38" i="1" s="1"/>
  <c r="E35" i="1"/>
  <c r="E37" i="1" s="1"/>
  <c r="E38" i="1" s="1"/>
  <c r="I35" i="1" l="1"/>
  <c r="I37" i="1" s="1"/>
  <c r="I38" i="1" s="1"/>
  <c r="L4" i="1"/>
  <c r="L35" i="1" l="1"/>
  <c r="L37" i="1" s="1"/>
  <c r="L38" i="1" s="1"/>
  <c r="O4" i="1"/>
  <c r="O35" i="1" l="1"/>
  <c r="O37" i="1" s="1"/>
  <c r="O38" i="1" s="1"/>
  <c r="R4" i="1"/>
  <c r="R35" i="1" l="1"/>
  <c r="R37" i="1" s="1"/>
  <c r="R38" i="1" s="1"/>
  <c r="U4" i="1"/>
  <c r="U35" i="1" l="1"/>
  <c r="U37" i="1" s="1"/>
  <c r="U38" i="1" s="1"/>
  <c r="X4" i="1"/>
  <c r="X35" i="1" l="1"/>
  <c r="X37" i="1" s="1"/>
  <c r="X38" i="1" s="1"/>
  <c r="AA4" i="1"/>
  <c r="AA35" i="1" l="1"/>
  <c r="AA37" i="1" s="1"/>
  <c r="AA38" i="1" s="1"/>
  <c r="AD4" i="1"/>
  <c r="AD35" i="1" l="1"/>
  <c r="AD37" i="1" s="1"/>
  <c r="AD38" i="1" s="1"/>
  <c r="AG4" i="1"/>
  <c r="AG35" i="1" l="1"/>
  <c r="AG37" i="1" s="1"/>
  <c r="AG38" i="1" s="1"/>
  <c r="AJ4" i="1"/>
  <c r="AJ35" i="1" s="1"/>
  <c r="AJ37" i="1" s="1"/>
  <c r="AJ38" i="1" s="1"/>
</calcChain>
</file>

<file path=xl/sharedStrings.xml><?xml version="1.0" encoding="utf-8"?>
<sst xmlns="http://schemas.openxmlformats.org/spreadsheetml/2006/main" count="468" uniqueCount="39">
  <si>
    <t>MOVING VIOLATIONS</t>
  </si>
  <si>
    <t>Offense Description</t>
  </si>
  <si>
    <t>MTD 2022</t>
  </si>
  <si>
    <t>YTD 2022</t>
  </si>
  <si>
    <t>Backing Unsafely</t>
  </si>
  <si>
    <t>Brake Lights (Defect.or Improper)</t>
  </si>
  <si>
    <t>Cell Phone</t>
  </si>
  <si>
    <t>Defective Brakes</t>
  </si>
  <si>
    <t>Disobey Steady Red Signal</t>
  </si>
  <si>
    <t>Disobey Stop Sign</t>
  </si>
  <si>
    <t>Equipment (Comm. or HazMat)</t>
  </si>
  <si>
    <t>Leaving Scene of Accident</t>
  </si>
  <si>
    <t>Driving While Intoxicated/Impaired</t>
  </si>
  <si>
    <t>Fail to Obey Traffic Control Dev.</t>
  </si>
  <si>
    <t>Fail to Signal</t>
  </si>
  <si>
    <t>Following Too Closely</t>
  </si>
  <si>
    <t>Headlights (Defect. or Improper)</t>
  </si>
  <si>
    <t>Improper Passing</t>
  </si>
  <si>
    <t>Improper Turn</t>
  </si>
  <si>
    <t>Improper/Missing Plates</t>
  </si>
  <si>
    <t>Obstruct Intersection (Block Box)</t>
  </si>
  <si>
    <t>One Way Street</t>
  </si>
  <si>
    <t>Plate Light (Defective)</t>
  </si>
  <si>
    <t>Safety Belt &amp; Restraints</t>
  </si>
  <si>
    <t>School Bus, Passing Stopped</t>
  </si>
  <si>
    <t>Speeding</t>
  </si>
  <si>
    <t>Tail Lights (Defect. or Improper)</t>
  </si>
  <si>
    <t>Tinted Windows</t>
  </si>
  <si>
    <t>Uninspected</t>
  </si>
  <si>
    <t>Uninsured</t>
  </si>
  <si>
    <t>Unlicensed/Out of Class Operator</t>
  </si>
  <si>
    <t>Unregistered</t>
  </si>
  <si>
    <t>Unsafe Lane Change</t>
  </si>
  <si>
    <t>U-Turn</t>
  </si>
  <si>
    <t>Other Movers</t>
  </si>
  <si>
    <t>TOTAL Movers 2022</t>
  </si>
  <si>
    <t>TOTAL Movers 2021</t>
  </si>
  <si>
    <t>Difference #</t>
  </si>
  <si>
    <t>Difference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</si>
</sst>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#0"/>
    <numFmt numFmtId="166" formatCode="0_);[Red]\(0\)"/>
    <numFmt numFmtId="167" formatCode="0.0%;[Red]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name val="Andale WT"/>
      <family val="2"/>
    </font>
    <font>
      <b/>
      <i/>
      <sz val="10"/>
      <color theme="1"/>
      <name val="Andale WT"/>
      <family val="2"/>
    </font>
    <font>
      <i/>
      <sz val="10"/>
      <color theme="1"/>
      <name val="Andale WT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808080"/>
      </right>
      <top style="medium">
        <color auto="1"/>
      </top>
      <bottom style="medium">
        <color auto="1"/>
      </bottom>
      <diagonal/>
    </border>
    <border>
      <left/>
      <right style="thin">
        <color rgb="FF80808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medium">
        <color auto="1"/>
      </top>
      <bottom style="thin">
        <color rgb="FF808080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medium">
        <color auto="1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medium">
        <color auto="1"/>
      </right>
      <top style="thin">
        <color rgb="FF808080"/>
      </top>
      <bottom style="medium">
        <color auto="1"/>
      </bottom>
      <diagonal/>
    </border>
    <border>
      <left style="medium">
        <color auto="1"/>
      </left>
      <right style="thin">
        <color rgb="FF808080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rgb="FF808080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/>
    </xf>
    <xf numFmtId="165" fontId="6" fillId="3" borderId="6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6" fontId="7" fillId="0" borderId="13" xfId="0" applyNumberFormat="1" applyFont="1" applyBorder="1" applyAlignment="1">
      <alignment horizontal="left" vertical="center" indent="14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7" fillId="0" borderId="16" xfId="0" applyFont="1" applyBorder="1" applyAlignment="1">
      <alignment horizontal="left" vertical="center" indent="14"/>
    </xf>
    <xf numFmtId="167" fontId="0" fillId="0" borderId="17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TT_by_Date_Range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FFICER"/>
      <sheetName val="BY VIOLATION"/>
      <sheetName val="BY POST"/>
      <sheetName val="BY MONTH"/>
      <sheetName val="BY LOCATION"/>
      <sheetName val="PO BY MONTH AND POST"/>
      <sheetName val="MONTHLY COMPARISON PREVIOUS YR"/>
      <sheetName val="COMPARISON 2021-2022"/>
      <sheetName val="MAST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vio_lawsection</v>
          </cell>
          <cell r="K1" t="str">
            <v>vio_viodate</v>
          </cell>
        </row>
        <row r="2">
          <cell r="C2">
            <v>5091</v>
          </cell>
          <cell r="K2">
            <v>44563</v>
          </cell>
        </row>
        <row r="3">
          <cell r="C3" t="str">
            <v>1172A</v>
          </cell>
          <cell r="K3">
            <v>44563</v>
          </cell>
        </row>
        <row r="4">
          <cell r="C4" t="str">
            <v>1180A</v>
          </cell>
          <cell r="K4">
            <v>44563</v>
          </cell>
        </row>
        <row r="5">
          <cell r="C5">
            <v>3754</v>
          </cell>
          <cell r="K5">
            <v>44564</v>
          </cell>
        </row>
        <row r="6">
          <cell r="C6" t="str">
            <v>37512AB2</v>
          </cell>
          <cell r="K6">
            <v>44564</v>
          </cell>
        </row>
        <row r="7">
          <cell r="C7">
            <v>319</v>
          </cell>
          <cell r="K7">
            <v>44564</v>
          </cell>
        </row>
        <row r="8">
          <cell r="C8">
            <v>512</v>
          </cell>
          <cell r="K8">
            <v>44564</v>
          </cell>
        </row>
        <row r="9">
          <cell r="C9" t="str">
            <v>511.1A</v>
          </cell>
          <cell r="K9">
            <v>44564</v>
          </cell>
        </row>
        <row r="10">
          <cell r="C10" t="str">
            <v>1172A</v>
          </cell>
          <cell r="K10">
            <v>44565</v>
          </cell>
        </row>
        <row r="11">
          <cell r="C11" t="str">
            <v>3191U</v>
          </cell>
          <cell r="K11">
            <v>44565</v>
          </cell>
        </row>
        <row r="12">
          <cell r="C12" t="str">
            <v>3752A1</v>
          </cell>
          <cell r="K12">
            <v>44566</v>
          </cell>
        </row>
        <row r="13">
          <cell r="C13" t="str">
            <v>306B</v>
          </cell>
          <cell r="K13">
            <v>44566</v>
          </cell>
        </row>
        <row r="14">
          <cell r="C14" t="str">
            <v>4011A</v>
          </cell>
          <cell r="K14">
            <v>44566</v>
          </cell>
        </row>
        <row r="15">
          <cell r="C15">
            <v>5091</v>
          </cell>
          <cell r="K15">
            <v>44567</v>
          </cell>
        </row>
        <row r="16">
          <cell r="C16" t="str">
            <v>1127A</v>
          </cell>
          <cell r="K16">
            <v>44567</v>
          </cell>
        </row>
        <row r="17">
          <cell r="C17" t="str">
            <v>37540B</v>
          </cell>
          <cell r="K17">
            <v>44569</v>
          </cell>
        </row>
        <row r="18">
          <cell r="C18" t="str">
            <v>1172A</v>
          </cell>
          <cell r="K18">
            <v>44569</v>
          </cell>
        </row>
        <row r="19">
          <cell r="C19">
            <v>3192</v>
          </cell>
          <cell r="K19">
            <v>44569</v>
          </cell>
        </row>
        <row r="20">
          <cell r="C20">
            <v>5091</v>
          </cell>
          <cell r="K20">
            <v>44569</v>
          </cell>
        </row>
        <row r="21">
          <cell r="C21" t="str">
            <v>1172A</v>
          </cell>
          <cell r="K21">
            <v>44569</v>
          </cell>
        </row>
        <row r="22">
          <cell r="C22" t="str">
            <v>1172A</v>
          </cell>
          <cell r="K22">
            <v>44569</v>
          </cell>
        </row>
        <row r="23">
          <cell r="C23">
            <v>512</v>
          </cell>
          <cell r="K23">
            <v>44569</v>
          </cell>
        </row>
        <row r="24">
          <cell r="C24" t="str">
            <v>511.1A</v>
          </cell>
          <cell r="K24">
            <v>44569</v>
          </cell>
        </row>
        <row r="25">
          <cell r="C25">
            <v>512</v>
          </cell>
          <cell r="K25">
            <v>44570</v>
          </cell>
        </row>
        <row r="26">
          <cell r="C26" t="str">
            <v>1160E</v>
          </cell>
          <cell r="K26">
            <v>44571</v>
          </cell>
        </row>
        <row r="27">
          <cell r="C27" t="str">
            <v>3191U</v>
          </cell>
          <cell r="K27">
            <v>44571</v>
          </cell>
        </row>
        <row r="28">
          <cell r="C28" t="str">
            <v>3752A1</v>
          </cell>
          <cell r="K28">
            <v>44571</v>
          </cell>
        </row>
        <row r="29">
          <cell r="C29" t="str">
            <v>4011A</v>
          </cell>
          <cell r="K29">
            <v>44571</v>
          </cell>
        </row>
        <row r="30">
          <cell r="C30" t="str">
            <v>1172A</v>
          </cell>
          <cell r="K30">
            <v>44571</v>
          </cell>
        </row>
        <row r="31">
          <cell r="C31" t="str">
            <v>1172A</v>
          </cell>
          <cell r="K31">
            <v>44571</v>
          </cell>
        </row>
        <row r="32">
          <cell r="C32" t="str">
            <v>375 2A1</v>
          </cell>
          <cell r="K32">
            <v>44571</v>
          </cell>
        </row>
        <row r="33">
          <cell r="C33" t="str">
            <v>1110A</v>
          </cell>
          <cell r="K33">
            <v>44572</v>
          </cell>
        </row>
        <row r="34">
          <cell r="C34" t="str">
            <v>3191U</v>
          </cell>
          <cell r="K34">
            <v>44572</v>
          </cell>
        </row>
        <row r="35">
          <cell r="C35" t="str">
            <v>3191U</v>
          </cell>
          <cell r="K35">
            <v>44572</v>
          </cell>
        </row>
        <row r="36">
          <cell r="C36" t="str">
            <v>1110A</v>
          </cell>
          <cell r="K36">
            <v>44573</v>
          </cell>
        </row>
        <row r="37">
          <cell r="C37" t="str">
            <v>1172A</v>
          </cell>
          <cell r="K37">
            <v>44573</v>
          </cell>
        </row>
        <row r="38">
          <cell r="C38" t="str">
            <v>1172A</v>
          </cell>
          <cell r="K38">
            <v>44573</v>
          </cell>
        </row>
        <row r="39">
          <cell r="C39" t="str">
            <v>3191U</v>
          </cell>
          <cell r="K39">
            <v>44573</v>
          </cell>
        </row>
        <row r="40">
          <cell r="C40" t="str">
            <v>1172A</v>
          </cell>
          <cell r="K40">
            <v>44573</v>
          </cell>
        </row>
        <row r="41">
          <cell r="C41" t="str">
            <v>1180A</v>
          </cell>
          <cell r="K41">
            <v>44573</v>
          </cell>
        </row>
        <row r="42">
          <cell r="C42" t="str">
            <v>3191U</v>
          </cell>
          <cell r="K42">
            <v>44573</v>
          </cell>
        </row>
        <row r="43">
          <cell r="C43" t="str">
            <v>3752A1</v>
          </cell>
          <cell r="K43">
            <v>44573</v>
          </cell>
        </row>
        <row r="44">
          <cell r="C44" t="str">
            <v>1160E</v>
          </cell>
          <cell r="K44">
            <v>44574</v>
          </cell>
        </row>
        <row r="45">
          <cell r="C45" t="str">
            <v>1172A</v>
          </cell>
          <cell r="K45">
            <v>44574</v>
          </cell>
        </row>
        <row r="46">
          <cell r="C46" t="str">
            <v>1122A</v>
          </cell>
          <cell r="K46">
            <v>44575</v>
          </cell>
        </row>
        <row r="47">
          <cell r="C47">
            <v>512</v>
          </cell>
          <cell r="K47">
            <v>44575</v>
          </cell>
        </row>
        <row r="48">
          <cell r="C48">
            <v>3754</v>
          </cell>
          <cell r="K48">
            <v>44576</v>
          </cell>
        </row>
        <row r="49">
          <cell r="C49" t="str">
            <v>1225D</v>
          </cell>
          <cell r="K49">
            <v>44576</v>
          </cell>
        </row>
        <row r="50">
          <cell r="C50" t="str">
            <v>1172A</v>
          </cell>
          <cell r="K50">
            <v>44576</v>
          </cell>
        </row>
        <row r="51">
          <cell r="C51" t="str">
            <v>4011A</v>
          </cell>
          <cell r="K51">
            <v>44576</v>
          </cell>
        </row>
        <row r="52">
          <cell r="C52" t="str">
            <v>1172A</v>
          </cell>
          <cell r="K52">
            <v>44576</v>
          </cell>
        </row>
        <row r="53">
          <cell r="C53" t="str">
            <v>3191U</v>
          </cell>
          <cell r="K53">
            <v>44576</v>
          </cell>
        </row>
        <row r="54">
          <cell r="C54">
            <v>5091</v>
          </cell>
          <cell r="K54">
            <v>44576</v>
          </cell>
        </row>
        <row r="55">
          <cell r="C55" t="str">
            <v>1172A</v>
          </cell>
          <cell r="K55">
            <v>44576</v>
          </cell>
        </row>
        <row r="56">
          <cell r="C56" t="str">
            <v>306B</v>
          </cell>
          <cell r="K56">
            <v>44576</v>
          </cell>
        </row>
        <row r="57">
          <cell r="C57" t="str">
            <v>5111A</v>
          </cell>
          <cell r="K57">
            <v>44577</v>
          </cell>
        </row>
        <row r="58">
          <cell r="C58" t="str">
            <v>1127A</v>
          </cell>
          <cell r="K58">
            <v>44577</v>
          </cell>
        </row>
        <row r="59">
          <cell r="C59" t="str">
            <v>1127A</v>
          </cell>
          <cell r="K59">
            <v>44577</v>
          </cell>
        </row>
        <row r="60">
          <cell r="C60">
            <v>512</v>
          </cell>
          <cell r="K60">
            <v>44577</v>
          </cell>
        </row>
        <row r="61">
          <cell r="C61">
            <v>37540</v>
          </cell>
          <cell r="K61">
            <v>44578</v>
          </cell>
        </row>
        <row r="62">
          <cell r="C62" t="str">
            <v>3752A</v>
          </cell>
          <cell r="K62">
            <v>44578</v>
          </cell>
        </row>
        <row r="63">
          <cell r="C63" t="str">
            <v>3752A1</v>
          </cell>
          <cell r="K63">
            <v>44578</v>
          </cell>
        </row>
        <row r="64">
          <cell r="C64" t="str">
            <v>37540B</v>
          </cell>
          <cell r="K64">
            <v>44578</v>
          </cell>
        </row>
        <row r="65">
          <cell r="C65" t="str">
            <v>1160E</v>
          </cell>
          <cell r="K65">
            <v>44579</v>
          </cell>
        </row>
        <row r="66">
          <cell r="C66" t="str">
            <v>3752A1</v>
          </cell>
          <cell r="K66">
            <v>44579</v>
          </cell>
        </row>
        <row r="67">
          <cell r="C67" t="str">
            <v>306B</v>
          </cell>
          <cell r="K67">
            <v>44579</v>
          </cell>
        </row>
        <row r="68">
          <cell r="C68">
            <v>37540</v>
          </cell>
          <cell r="K68">
            <v>44579</v>
          </cell>
        </row>
        <row r="69">
          <cell r="C69" t="str">
            <v/>
          </cell>
          <cell r="K69">
            <v>44579</v>
          </cell>
        </row>
        <row r="70">
          <cell r="C70" t="str">
            <v>1111D1</v>
          </cell>
          <cell r="K70">
            <v>44580</v>
          </cell>
        </row>
        <row r="71">
          <cell r="C71" t="str">
            <v>3752A</v>
          </cell>
          <cell r="K71">
            <v>44580</v>
          </cell>
        </row>
        <row r="72">
          <cell r="C72" t="str">
            <v>37540B</v>
          </cell>
          <cell r="K72">
            <v>44580</v>
          </cell>
        </row>
        <row r="73">
          <cell r="C73">
            <v>5091</v>
          </cell>
          <cell r="K73">
            <v>44580</v>
          </cell>
        </row>
        <row r="74">
          <cell r="C74" t="str">
            <v>1172A</v>
          </cell>
          <cell r="K74">
            <v>44580</v>
          </cell>
        </row>
        <row r="75">
          <cell r="C75" t="str">
            <v>1172A</v>
          </cell>
          <cell r="K75">
            <v>44580</v>
          </cell>
        </row>
        <row r="76">
          <cell r="C76" t="str">
            <v>1172A</v>
          </cell>
          <cell r="K76">
            <v>44580</v>
          </cell>
        </row>
        <row r="77">
          <cell r="C77" t="str">
            <v>1180A</v>
          </cell>
          <cell r="K77">
            <v>44580</v>
          </cell>
        </row>
        <row r="78">
          <cell r="C78" t="str">
            <v>3191U</v>
          </cell>
          <cell r="K78">
            <v>44580</v>
          </cell>
        </row>
        <row r="79">
          <cell r="C79" t="str">
            <v>5111A</v>
          </cell>
          <cell r="K79">
            <v>44580</v>
          </cell>
        </row>
        <row r="80">
          <cell r="C80" t="str">
            <v>1172A</v>
          </cell>
          <cell r="K80">
            <v>44580</v>
          </cell>
        </row>
        <row r="81">
          <cell r="C81" t="str">
            <v>1172A</v>
          </cell>
          <cell r="K81">
            <v>44581</v>
          </cell>
        </row>
        <row r="82">
          <cell r="C82">
            <v>3754</v>
          </cell>
          <cell r="K82">
            <v>44582</v>
          </cell>
        </row>
        <row r="83">
          <cell r="C83" t="str">
            <v>1172A</v>
          </cell>
          <cell r="K83">
            <v>44582</v>
          </cell>
        </row>
        <row r="84">
          <cell r="C84" t="str">
            <v>3191U</v>
          </cell>
          <cell r="K84">
            <v>44582</v>
          </cell>
        </row>
        <row r="85">
          <cell r="C85" t="str">
            <v>3752A1</v>
          </cell>
          <cell r="K85">
            <v>44582</v>
          </cell>
        </row>
        <row r="86">
          <cell r="C86" t="str">
            <v>1172A</v>
          </cell>
          <cell r="K86">
            <v>44582</v>
          </cell>
        </row>
        <row r="87">
          <cell r="C87">
            <v>512</v>
          </cell>
          <cell r="K87">
            <v>44582</v>
          </cell>
        </row>
        <row r="88">
          <cell r="C88">
            <v>512</v>
          </cell>
          <cell r="K88">
            <v>44582</v>
          </cell>
        </row>
        <row r="89">
          <cell r="C89">
            <v>512</v>
          </cell>
          <cell r="K89">
            <v>44582</v>
          </cell>
        </row>
        <row r="90">
          <cell r="C90" t="str">
            <v>5111A</v>
          </cell>
          <cell r="K90">
            <v>44582</v>
          </cell>
        </row>
        <row r="91">
          <cell r="C91" t="str">
            <v>375 2A1</v>
          </cell>
          <cell r="K91">
            <v>44582</v>
          </cell>
        </row>
        <row r="92">
          <cell r="C92" t="str">
            <v>1110A</v>
          </cell>
          <cell r="K92">
            <v>44583</v>
          </cell>
        </row>
        <row r="93">
          <cell r="C93" t="str">
            <v>3752A1</v>
          </cell>
          <cell r="K93">
            <v>44583</v>
          </cell>
        </row>
        <row r="94">
          <cell r="C94" t="str">
            <v>4011A</v>
          </cell>
          <cell r="K94">
            <v>44583</v>
          </cell>
        </row>
        <row r="95">
          <cell r="C95">
            <v>3192</v>
          </cell>
          <cell r="K95">
            <v>44583</v>
          </cell>
        </row>
        <row r="96">
          <cell r="C96" t="str">
            <v>1129 A</v>
          </cell>
          <cell r="K96">
            <v>44583</v>
          </cell>
        </row>
        <row r="97">
          <cell r="C97" t="str">
            <v>1180D</v>
          </cell>
          <cell r="K97">
            <v>44583</v>
          </cell>
        </row>
        <row r="98">
          <cell r="C98">
            <v>512</v>
          </cell>
          <cell r="K98">
            <v>44583</v>
          </cell>
        </row>
        <row r="99">
          <cell r="C99">
            <v>5107</v>
          </cell>
          <cell r="K99">
            <v>44583</v>
          </cell>
        </row>
        <row r="100">
          <cell r="C100" t="str">
            <v>1172A</v>
          </cell>
          <cell r="K100">
            <v>44584</v>
          </cell>
        </row>
        <row r="101">
          <cell r="C101" t="str">
            <v>1180A</v>
          </cell>
          <cell r="K101">
            <v>44584</v>
          </cell>
        </row>
        <row r="102">
          <cell r="C102" t="str">
            <v>1172A</v>
          </cell>
          <cell r="K102">
            <v>44584</v>
          </cell>
        </row>
        <row r="103">
          <cell r="C103">
            <v>3751</v>
          </cell>
          <cell r="K103">
            <v>44585</v>
          </cell>
        </row>
        <row r="104">
          <cell r="C104">
            <v>3759</v>
          </cell>
          <cell r="K104">
            <v>44585</v>
          </cell>
        </row>
        <row r="105">
          <cell r="C105">
            <v>37518</v>
          </cell>
          <cell r="K105">
            <v>44585</v>
          </cell>
        </row>
        <row r="106">
          <cell r="C106" t="str">
            <v>1128A</v>
          </cell>
          <cell r="K106">
            <v>44585</v>
          </cell>
        </row>
        <row r="107">
          <cell r="C107" t="str">
            <v>3191U</v>
          </cell>
          <cell r="K107">
            <v>44585</v>
          </cell>
        </row>
        <row r="108">
          <cell r="C108" t="str">
            <v>37510-E</v>
          </cell>
          <cell r="K108">
            <v>44585</v>
          </cell>
        </row>
        <row r="109">
          <cell r="C109" t="str">
            <v>3752A1</v>
          </cell>
          <cell r="K109">
            <v>44585</v>
          </cell>
        </row>
        <row r="110">
          <cell r="C110" t="str">
            <v>3752A4</v>
          </cell>
          <cell r="K110">
            <v>44585</v>
          </cell>
        </row>
        <row r="111">
          <cell r="C111" t="str">
            <v>4011A</v>
          </cell>
          <cell r="K111">
            <v>44585</v>
          </cell>
        </row>
        <row r="112">
          <cell r="C112" t="str">
            <v>1172A</v>
          </cell>
          <cell r="K112">
            <v>44585</v>
          </cell>
        </row>
        <row r="113">
          <cell r="C113" t="str">
            <v>1180C</v>
          </cell>
          <cell r="K113">
            <v>44585</v>
          </cell>
        </row>
        <row r="114">
          <cell r="C114" t="str">
            <v>1172A</v>
          </cell>
          <cell r="K114">
            <v>44585</v>
          </cell>
        </row>
        <row r="115">
          <cell r="C115" t="str">
            <v>1180A</v>
          </cell>
          <cell r="K115">
            <v>44585</v>
          </cell>
        </row>
        <row r="116">
          <cell r="C116">
            <v>3192</v>
          </cell>
          <cell r="K116">
            <v>44586</v>
          </cell>
        </row>
        <row r="117">
          <cell r="C117">
            <v>4113</v>
          </cell>
          <cell r="K117">
            <v>44586</v>
          </cell>
        </row>
        <row r="118">
          <cell r="C118" t="str">
            <v>1172A</v>
          </cell>
          <cell r="K118">
            <v>44586</v>
          </cell>
        </row>
        <row r="119">
          <cell r="C119" t="str">
            <v>1180A</v>
          </cell>
          <cell r="K119">
            <v>44586</v>
          </cell>
        </row>
        <row r="120">
          <cell r="C120" t="str">
            <v>306B</v>
          </cell>
          <cell r="K120">
            <v>44586</v>
          </cell>
        </row>
        <row r="121">
          <cell r="C121" t="str">
            <v>4011A</v>
          </cell>
          <cell r="K121">
            <v>44586</v>
          </cell>
        </row>
        <row r="122">
          <cell r="C122" t="str">
            <v>5111A</v>
          </cell>
          <cell r="K122">
            <v>44586</v>
          </cell>
        </row>
        <row r="123">
          <cell r="C123" t="str">
            <v>37512AB2</v>
          </cell>
          <cell r="K123">
            <v>44587</v>
          </cell>
        </row>
        <row r="124">
          <cell r="C124" t="str">
            <v>1172A</v>
          </cell>
          <cell r="K124">
            <v>44587</v>
          </cell>
        </row>
        <row r="125">
          <cell r="C125">
            <v>512</v>
          </cell>
          <cell r="K125">
            <v>44587</v>
          </cell>
        </row>
        <row r="126">
          <cell r="C126">
            <v>512</v>
          </cell>
          <cell r="K126">
            <v>44587</v>
          </cell>
        </row>
        <row r="127">
          <cell r="C127" t="str">
            <v>1172A</v>
          </cell>
          <cell r="K127">
            <v>44588</v>
          </cell>
        </row>
        <row r="128">
          <cell r="C128" t="str">
            <v>1172A</v>
          </cell>
          <cell r="K128">
            <v>44588</v>
          </cell>
        </row>
        <row r="129">
          <cell r="C129" t="str">
            <v>1172A</v>
          </cell>
          <cell r="K129">
            <v>44588</v>
          </cell>
        </row>
        <row r="130">
          <cell r="C130" t="str">
            <v>1172A</v>
          </cell>
          <cell r="K130">
            <v>44588</v>
          </cell>
        </row>
        <row r="131">
          <cell r="C131">
            <v>4021</v>
          </cell>
          <cell r="K131">
            <v>44588</v>
          </cell>
        </row>
        <row r="132">
          <cell r="C132" t="str">
            <v>1172 A</v>
          </cell>
          <cell r="K132">
            <v>44588</v>
          </cell>
        </row>
        <row r="133">
          <cell r="C133" t="str">
            <v>1172A</v>
          </cell>
          <cell r="K133">
            <v>44588</v>
          </cell>
        </row>
        <row r="134">
          <cell r="C134" t="str">
            <v>3761A</v>
          </cell>
          <cell r="K134">
            <v>44588</v>
          </cell>
        </row>
        <row r="135">
          <cell r="C135">
            <v>512</v>
          </cell>
          <cell r="K135">
            <v>44588</v>
          </cell>
        </row>
        <row r="136">
          <cell r="C136">
            <v>512</v>
          </cell>
          <cell r="K136">
            <v>44588</v>
          </cell>
        </row>
        <row r="137">
          <cell r="C137">
            <v>3751</v>
          </cell>
          <cell r="K137">
            <v>44588</v>
          </cell>
        </row>
        <row r="138">
          <cell r="C138">
            <v>4021</v>
          </cell>
          <cell r="K138">
            <v>44588</v>
          </cell>
        </row>
        <row r="139">
          <cell r="C139" t="str">
            <v>37510-E</v>
          </cell>
          <cell r="K139">
            <v>44588</v>
          </cell>
        </row>
        <row r="140">
          <cell r="C140" t="str">
            <v>37512AB2</v>
          </cell>
          <cell r="K140">
            <v>44588</v>
          </cell>
        </row>
        <row r="141">
          <cell r="C141" t="str">
            <v>380A</v>
          </cell>
          <cell r="K141">
            <v>44588</v>
          </cell>
        </row>
        <row r="142">
          <cell r="C142" t="str">
            <v>1180A</v>
          </cell>
          <cell r="K142">
            <v>44592</v>
          </cell>
        </row>
        <row r="143">
          <cell r="C143">
            <v>37540</v>
          </cell>
          <cell r="K143">
            <v>44592</v>
          </cell>
        </row>
        <row r="144">
          <cell r="C144" t="str">
            <v>1172A</v>
          </cell>
          <cell r="K144">
            <v>44592</v>
          </cell>
        </row>
        <row r="145">
          <cell r="C145" t="str">
            <v>37540B</v>
          </cell>
          <cell r="K145">
            <v>44592</v>
          </cell>
        </row>
        <row r="146">
          <cell r="C146" t="str">
            <v>4011A</v>
          </cell>
          <cell r="K146">
            <v>44592</v>
          </cell>
        </row>
        <row r="147">
          <cell r="C147" t="str">
            <v>4011A</v>
          </cell>
          <cell r="K147">
            <v>44592</v>
          </cell>
        </row>
        <row r="148">
          <cell r="C148" t="str">
            <v>37540B</v>
          </cell>
          <cell r="K148">
            <v>44593</v>
          </cell>
        </row>
        <row r="149">
          <cell r="C149" t="str">
            <v>1172A</v>
          </cell>
          <cell r="K149">
            <v>44593</v>
          </cell>
        </row>
        <row r="150">
          <cell r="C150" t="str">
            <v>1111D1</v>
          </cell>
          <cell r="K150">
            <v>44594</v>
          </cell>
        </row>
        <row r="151">
          <cell r="C151" t="str">
            <v>1172A</v>
          </cell>
          <cell r="K151">
            <v>44594</v>
          </cell>
        </row>
        <row r="152">
          <cell r="C152" t="str">
            <v>1172A</v>
          </cell>
          <cell r="K152">
            <v>44594</v>
          </cell>
        </row>
        <row r="153">
          <cell r="C153" t="str">
            <v>1172A</v>
          </cell>
          <cell r="K153">
            <v>44594</v>
          </cell>
        </row>
        <row r="154">
          <cell r="C154">
            <v>512</v>
          </cell>
          <cell r="K154">
            <v>44594</v>
          </cell>
        </row>
        <row r="155">
          <cell r="C155">
            <v>37531</v>
          </cell>
          <cell r="K155">
            <v>44594</v>
          </cell>
        </row>
        <row r="156">
          <cell r="C156" t="str">
            <v>37540B</v>
          </cell>
          <cell r="K156">
            <v>44594</v>
          </cell>
        </row>
        <row r="157">
          <cell r="C157">
            <v>319</v>
          </cell>
          <cell r="K157">
            <v>44594</v>
          </cell>
        </row>
        <row r="158">
          <cell r="C158">
            <v>37530</v>
          </cell>
          <cell r="K158">
            <v>44594</v>
          </cell>
        </row>
        <row r="159">
          <cell r="C159" t="str">
            <v>1163D</v>
          </cell>
          <cell r="K159">
            <v>44594</v>
          </cell>
        </row>
        <row r="160">
          <cell r="C160" t="str">
            <v>4011A</v>
          </cell>
          <cell r="K160">
            <v>44594</v>
          </cell>
        </row>
        <row r="161">
          <cell r="C161" t="str">
            <v>3752A1</v>
          </cell>
          <cell r="K161">
            <v>44595</v>
          </cell>
        </row>
        <row r="162">
          <cell r="C162" t="str">
            <v>1111D1</v>
          </cell>
          <cell r="K162">
            <v>44595</v>
          </cell>
        </row>
        <row r="163">
          <cell r="C163" t="str">
            <v>1172A</v>
          </cell>
          <cell r="K163">
            <v>44595</v>
          </cell>
        </row>
        <row r="164">
          <cell r="C164" t="str">
            <v>1110A</v>
          </cell>
          <cell r="K164">
            <v>44597</v>
          </cell>
        </row>
        <row r="165">
          <cell r="C165" t="str">
            <v>1225C2A</v>
          </cell>
          <cell r="K165">
            <v>44597</v>
          </cell>
        </row>
        <row r="166">
          <cell r="C166">
            <v>3192</v>
          </cell>
          <cell r="K166">
            <v>44597</v>
          </cell>
        </row>
        <row r="167">
          <cell r="C167" t="str">
            <v>1172A</v>
          </cell>
          <cell r="K167">
            <v>44598</v>
          </cell>
        </row>
        <row r="168">
          <cell r="C168" t="str">
            <v>1172A</v>
          </cell>
          <cell r="K168">
            <v>44599</v>
          </cell>
        </row>
        <row r="169">
          <cell r="C169" t="str">
            <v>3191U</v>
          </cell>
          <cell r="K169">
            <v>44599</v>
          </cell>
        </row>
        <row r="170">
          <cell r="C170">
            <v>512</v>
          </cell>
          <cell r="K170">
            <v>44599</v>
          </cell>
        </row>
        <row r="171">
          <cell r="C171">
            <v>512</v>
          </cell>
          <cell r="K171">
            <v>44599</v>
          </cell>
        </row>
        <row r="172">
          <cell r="C172" t="str">
            <v>3752A1</v>
          </cell>
          <cell r="K172">
            <v>44600</v>
          </cell>
        </row>
        <row r="173">
          <cell r="C173">
            <v>3754</v>
          </cell>
          <cell r="K173">
            <v>44600</v>
          </cell>
        </row>
        <row r="174">
          <cell r="C174">
            <v>37531</v>
          </cell>
          <cell r="K174">
            <v>44600</v>
          </cell>
        </row>
        <row r="175">
          <cell r="C175">
            <v>5091</v>
          </cell>
          <cell r="K175">
            <v>44600</v>
          </cell>
        </row>
        <row r="176">
          <cell r="C176" t="str">
            <v>1172A</v>
          </cell>
          <cell r="K176">
            <v>44600</v>
          </cell>
        </row>
        <row r="177">
          <cell r="C177" t="str">
            <v>3191U</v>
          </cell>
          <cell r="K177">
            <v>44600</v>
          </cell>
        </row>
        <row r="178">
          <cell r="C178" t="str">
            <v>1172A</v>
          </cell>
          <cell r="K178">
            <v>44600</v>
          </cell>
        </row>
        <row r="179">
          <cell r="C179">
            <v>512</v>
          </cell>
          <cell r="K179">
            <v>44600</v>
          </cell>
        </row>
        <row r="180">
          <cell r="C180">
            <v>5091</v>
          </cell>
          <cell r="K180">
            <v>44600</v>
          </cell>
        </row>
        <row r="181">
          <cell r="C181">
            <v>5092</v>
          </cell>
          <cell r="K181">
            <v>44600</v>
          </cell>
        </row>
        <row r="182">
          <cell r="C182">
            <v>5107</v>
          </cell>
          <cell r="K182">
            <v>44600</v>
          </cell>
        </row>
        <row r="183">
          <cell r="C183">
            <v>5107</v>
          </cell>
          <cell r="K183">
            <v>44600</v>
          </cell>
        </row>
        <row r="184">
          <cell r="C184" t="str">
            <v>3191U</v>
          </cell>
          <cell r="K184">
            <v>44600</v>
          </cell>
        </row>
        <row r="185">
          <cell r="C185">
            <v>512</v>
          </cell>
          <cell r="K185">
            <v>44600</v>
          </cell>
        </row>
        <row r="186">
          <cell r="C186">
            <v>37540</v>
          </cell>
          <cell r="K186">
            <v>44600</v>
          </cell>
        </row>
        <row r="187">
          <cell r="C187">
            <v>512</v>
          </cell>
          <cell r="K187">
            <v>44600</v>
          </cell>
        </row>
        <row r="188">
          <cell r="C188">
            <v>512</v>
          </cell>
          <cell r="K188">
            <v>44600</v>
          </cell>
        </row>
        <row r="189">
          <cell r="C189">
            <v>512</v>
          </cell>
          <cell r="K189">
            <v>44600</v>
          </cell>
        </row>
        <row r="190">
          <cell r="C190" t="str">
            <v>3752A1</v>
          </cell>
          <cell r="K190">
            <v>44601</v>
          </cell>
        </row>
        <row r="191">
          <cell r="C191" t="str">
            <v>1172A</v>
          </cell>
          <cell r="K191">
            <v>44601</v>
          </cell>
        </row>
        <row r="192">
          <cell r="C192" t="str">
            <v>1172A</v>
          </cell>
          <cell r="K192">
            <v>44601</v>
          </cell>
        </row>
        <row r="193">
          <cell r="C193" t="str">
            <v>3191U</v>
          </cell>
          <cell r="K193">
            <v>44601</v>
          </cell>
        </row>
        <row r="194">
          <cell r="C194">
            <v>1102</v>
          </cell>
          <cell r="K194">
            <v>44601</v>
          </cell>
        </row>
        <row r="195">
          <cell r="C195">
            <v>11921</v>
          </cell>
          <cell r="K195">
            <v>44601</v>
          </cell>
        </row>
        <row r="196">
          <cell r="C196" t="str">
            <v>1111D1</v>
          </cell>
          <cell r="K196">
            <v>44601</v>
          </cell>
        </row>
        <row r="197">
          <cell r="C197" t="str">
            <v>1229C3</v>
          </cell>
          <cell r="K197">
            <v>44601</v>
          </cell>
        </row>
        <row r="198">
          <cell r="C198" t="str">
            <v>3752A1</v>
          </cell>
          <cell r="K198">
            <v>44601</v>
          </cell>
        </row>
        <row r="199">
          <cell r="C199" t="str">
            <v>6001A</v>
          </cell>
          <cell r="K199">
            <v>44601</v>
          </cell>
        </row>
        <row r="200">
          <cell r="C200" t="str">
            <v>6001A</v>
          </cell>
          <cell r="K200">
            <v>44601</v>
          </cell>
        </row>
        <row r="201">
          <cell r="C201" t="str">
            <v>37540B</v>
          </cell>
          <cell r="K201">
            <v>44602</v>
          </cell>
        </row>
        <row r="202">
          <cell r="C202">
            <v>512</v>
          </cell>
          <cell r="K202">
            <v>44602</v>
          </cell>
        </row>
        <row r="203">
          <cell r="C203">
            <v>512</v>
          </cell>
          <cell r="K203">
            <v>44602</v>
          </cell>
        </row>
        <row r="204">
          <cell r="C204">
            <v>5107</v>
          </cell>
          <cell r="K204">
            <v>44602</v>
          </cell>
        </row>
        <row r="205">
          <cell r="C205" t="str">
            <v>1172A</v>
          </cell>
          <cell r="K205">
            <v>44602</v>
          </cell>
        </row>
        <row r="206">
          <cell r="C206" t="str">
            <v>5111A</v>
          </cell>
          <cell r="K206">
            <v>44602</v>
          </cell>
        </row>
        <row r="207">
          <cell r="C207">
            <v>512</v>
          </cell>
          <cell r="K207">
            <v>44602</v>
          </cell>
        </row>
        <row r="208">
          <cell r="C208" t="str">
            <v>1172A</v>
          </cell>
          <cell r="K208">
            <v>44602</v>
          </cell>
        </row>
        <row r="209">
          <cell r="C209" t="str">
            <v>3191U</v>
          </cell>
          <cell r="K209">
            <v>44602</v>
          </cell>
        </row>
        <row r="210">
          <cell r="C210">
            <v>11922</v>
          </cell>
          <cell r="K210">
            <v>44603</v>
          </cell>
        </row>
        <row r="211">
          <cell r="C211">
            <v>11921</v>
          </cell>
          <cell r="K211">
            <v>44603</v>
          </cell>
        </row>
        <row r="212">
          <cell r="C212" t="str">
            <v>1110A</v>
          </cell>
          <cell r="K212">
            <v>44603</v>
          </cell>
        </row>
        <row r="213">
          <cell r="C213" t="str">
            <v>11922AA</v>
          </cell>
          <cell r="K213">
            <v>44603</v>
          </cell>
        </row>
        <row r="214">
          <cell r="C214" t="str">
            <v>3191U</v>
          </cell>
          <cell r="K214">
            <v>44603</v>
          </cell>
        </row>
        <row r="215">
          <cell r="C215" t="str">
            <v>37540B</v>
          </cell>
          <cell r="K215">
            <v>44603</v>
          </cell>
        </row>
        <row r="216">
          <cell r="C216">
            <v>512</v>
          </cell>
          <cell r="K216">
            <v>44603</v>
          </cell>
        </row>
        <row r="217">
          <cell r="C217" t="str">
            <v>3191U</v>
          </cell>
          <cell r="K217">
            <v>44603</v>
          </cell>
        </row>
        <row r="218">
          <cell r="C218" t="str">
            <v>37540B</v>
          </cell>
          <cell r="K218">
            <v>44604</v>
          </cell>
        </row>
        <row r="219">
          <cell r="C219" t="str">
            <v>1172A</v>
          </cell>
          <cell r="K219">
            <v>44604</v>
          </cell>
        </row>
        <row r="220">
          <cell r="C220" t="str">
            <v>3752A4</v>
          </cell>
          <cell r="K220">
            <v>44604</v>
          </cell>
        </row>
        <row r="221">
          <cell r="C221" t="str">
            <v>5111A</v>
          </cell>
          <cell r="K221">
            <v>44604</v>
          </cell>
        </row>
        <row r="222">
          <cell r="C222" t="str">
            <v/>
          </cell>
          <cell r="K222">
            <v>44604</v>
          </cell>
        </row>
        <row r="223">
          <cell r="C223">
            <v>5091</v>
          </cell>
          <cell r="K223">
            <v>44606</v>
          </cell>
        </row>
        <row r="224">
          <cell r="C224" t="str">
            <v>1172A</v>
          </cell>
          <cell r="K224">
            <v>44606</v>
          </cell>
        </row>
        <row r="225">
          <cell r="C225" t="str">
            <v>1172A</v>
          </cell>
          <cell r="K225">
            <v>44606</v>
          </cell>
        </row>
        <row r="226">
          <cell r="C226" t="str">
            <v>37540B</v>
          </cell>
          <cell r="K226">
            <v>44606</v>
          </cell>
        </row>
        <row r="227">
          <cell r="C227" t="str">
            <v>1172A</v>
          </cell>
          <cell r="K227">
            <v>44606</v>
          </cell>
        </row>
        <row r="228">
          <cell r="C228" t="str">
            <v>1172A</v>
          </cell>
          <cell r="K228">
            <v>44606</v>
          </cell>
        </row>
        <row r="229">
          <cell r="C229">
            <v>3751</v>
          </cell>
          <cell r="K229">
            <v>44607</v>
          </cell>
        </row>
        <row r="230">
          <cell r="C230">
            <v>3751</v>
          </cell>
          <cell r="K230">
            <v>44607</v>
          </cell>
        </row>
        <row r="231">
          <cell r="C231" t="str">
            <v>1402CII</v>
          </cell>
          <cell r="K231">
            <v>44607</v>
          </cell>
        </row>
        <row r="232">
          <cell r="C232" t="str">
            <v>306B</v>
          </cell>
          <cell r="K232">
            <v>44607</v>
          </cell>
        </row>
        <row r="233">
          <cell r="C233" t="str">
            <v>37540B</v>
          </cell>
          <cell r="K233">
            <v>44607</v>
          </cell>
        </row>
        <row r="234">
          <cell r="C234">
            <v>1175</v>
          </cell>
          <cell r="K234">
            <v>44607</v>
          </cell>
        </row>
        <row r="235">
          <cell r="C235" t="str">
            <v>3191U</v>
          </cell>
          <cell r="K235">
            <v>44607</v>
          </cell>
        </row>
        <row r="236">
          <cell r="C236">
            <v>512</v>
          </cell>
          <cell r="K236">
            <v>44608</v>
          </cell>
        </row>
        <row r="237">
          <cell r="C237" t="str">
            <v>1172A</v>
          </cell>
          <cell r="K237">
            <v>44608</v>
          </cell>
        </row>
        <row r="238">
          <cell r="C238">
            <v>512</v>
          </cell>
          <cell r="K238">
            <v>44608</v>
          </cell>
        </row>
        <row r="239">
          <cell r="C239">
            <v>512</v>
          </cell>
          <cell r="K239">
            <v>44608</v>
          </cell>
        </row>
        <row r="240">
          <cell r="C240" t="str">
            <v>306B</v>
          </cell>
          <cell r="K240">
            <v>44608</v>
          </cell>
        </row>
        <row r="241">
          <cell r="C241" t="str">
            <v>4011A</v>
          </cell>
          <cell r="K241">
            <v>44608</v>
          </cell>
        </row>
        <row r="242">
          <cell r="C242" t="str">
            <v>5111A</v>
          </cell>
          <cell r="K242">
            <v>44609</v>
          </cell>
        </row>
        <row r="243">
          <cell r="C243">
            <v>4024</v>
          </cell>
          <cell r="K243">
            <v>44609</v>
          </cell>
        </row>
        <row r="244">
          <cell r="C244">
            <v>5091</v>
          </cell>
          <cell r="K244">
            <v>44609</v>
          </cell>
        </row>
        <row r="245">
          <cell r="C245" t="str">
            <v>1180A</v>
          </cell>
          <cell r="K245">
            <v>44609</v>
          </cell>
        </row>
        <row r="246">
          <cell r="C246">
            <v>512</v>
          </cell>
          <cell r="K246">
            <v>44609</v>
          </cell>
        </row>
        <row r="247">
          <cell r="C247">
            <v>3192</v>
          </cell>
          <cell r="K247">
            <v>44609</v>
          </cell>
        </row>
        <row r="248">
          <cell r="C248">
            <v>5107</v>
          </cell>
          <cell r="K248">
            <v>44609</v>
          </cell>
        </row>
        <row r="249">
          <cell r="C249" t="str">
            <v>37540B</v>
          </cell>
          <cell r="K249">
            <v>44609</v>
          </cell>
        </row>
        <row r="250">
          <cell r="C250" t="str">
            <v>1172A</v>
          </cell>
          <cell r="K250">
            <v>44609</v>
          </cell>
        </row>
        <row r="251">
          <cell r="C251" t="str">
            <v>1128A</v>
          </cell>
          <cell r="K251">
            <v>44610</v>
          </cell>
        </row>
        <row r="252">
          <cell r="C252" t="str">
            <v>1160E</v>
          </cell>
          <cell r="K252">
            <v>44610</v>
          </cell>
        </row>
        <row r="253">
          <cell r="C253" t="str">
            <v>1180A</v>
          </cell>
          <cell r="K253">
            <v>44610</v>
          </cell>
        </row>
        <row r="254">
          <cell r="C254" t="str">
            <v>1172A</v>
          </cell>
          <cell r="K254">
            <v>44610</v>
          </cell>
        </row>
        <row r="255">
          <cell r="C255">
            <v>3192</v>
          </cell>
          <cell r="K255">
            <v>44610</v>
          </cell>
        </row>
        <row r="256">
          <cell r="C256" t="str">
            <v>3752A3</v>
          </cell>
          <cell r="K256">
            <v>44610</v>
          </cell>
        </row>
        <row r="257">
          <cell r="C257">
            <v>3192</v>
          </cell>
          <cell r="K257">
            <v>44610</v>
          </cell>
        </row>
        <row r="258">
          <cell r="C258" t="str">
            <v>1172A</v>
          </cell>
          <cell r="K258">
            <v>44611</v>
          </cell>
        </row>
        <row r="259">
          <cell r="C259" t="str">
            <v>3191U</v>
          </cell>
          <cell r="K259">
            <v>44611</v>
          </cell>
        </row>
        <row r="260">
          <cell r="C260">
            <v>5091</v>
          </cell>
          <cell r="K260">
            <v>44611</v>
          </cell>
        </row>
        <row r="261">
          <cell r="C261" t="str">
            <v>1172A</v>
          </cell>
          <cell r="K261">
            <v>44611</v>
          </cell>
        </row>
        <row r="262">
          <cell r="C262">
            <v>512</v>
          </cell>
          <cell r="K262">
            <v>44611</v>
          </cell>
        </row>
        <row r="263">
          <cell r="C263">
            <v>512</v>
          </cell>
          <cell r="K263">
            <v>44611</v>
          </cell>
        </row>
        <row r="264">
          <cell r="C264" t="str">
            <v>1172A</v>
          </cell>
          <cell r="K264">
            <v>44612</v>
          </cell>
        </row>
        <row r="265">
          <cell r="C265" t="str">
            <v/>
          </cell>
          <cell r="K265">
            <v>44612</v>
          </cell>
        </row>
        <row r="266">
          <cell r="C266" t="str">
            <v>1172A</v>
          </cell>
          <cell r="K266">
            <v>44612</v>
          </cell>
        </row>
        <row r="267">
          <cell r="C267" t="str">
            <v>37540B</v>
          </cell>
          <cell r="K267">
            <v>44612</v>
          </cell>
        </row>
        <row r="268">
          <cell r="C268">
            <v>512</v>
          </cell>
          <cell r="K268">
            <v>44612</v>
          </cell>
        </row>
        <row r="269">
          <cell r="C269">
            <v>5091</v>
          </cell>
          <cell r="K269">
            <v>44612</v>
          </cell>
        </row>
        <row r="270">
          <cell r="C270">
            <v>24062</v>
          </cell>
          <cell r="K270">
            <v>44612</v>
          </cell>
        </row>
        <row r="271">
          <cell r="C271">
            <v>512</v>
          </cell>
          <cell r="K271">
            <v>44614</v>
          </cell>
        </row>
        <row r="272">
          <cell r="C272">
            <v>512</v>
          </cell>
          <cell r="K272">
            <v>44614</v>
          </cell>
        </row>
        <row r="273">
          <cell r="C273">
            <v>5107</v>
          </cell>
          <cell r="K273">
            <v>44614</v>
          </cell>
        </row>
        <row r="274">
          <cell r="C274" t="str">
            <v>306B</v>
          </cell>
          <cell r="K274">
            <v>44614</v>
          </cell>
        </row>
        <row r="275">
          <cell r="C275" t="str">
            <v>3191U</v>
          </cell>
          <cell r="K275">
            <v>44614</v>
          </cell>
        </row>
        <row r="276">
          <cell r="C276" t="str">
            <v>5111A</v>
          </cell>
          <cell r="K276">
            <v>44614</v>
          </cell>
        </row>
        <row r="277">
          <cell r="C277" t="str">
            <v>1111D1</v>
          </cell>
          <cell r="K277">
            <v>44614</v>
          </cell>
        </row>
        <row r="278">
          <cell r="C278">
            <v>512</v>
          </cell>
          <cell r="K278">
            <v>44615</v>
          </cell>
        </row>
        <row r="279">
          <cell r="C279">
            <v>5091</v>
          </cell>
          <cell r="K279">
            <v>44615</v>
          </cell>
        </row>
        <row r="280">
          <cell r="C280" t="str">
            <v>3752A1</v>
          </cell>
          <cell r="K280">
            <v>44617</v>
          </cell>
        </row>
        <row r="281">
          <cell r="C281" t="str">
            <v>1110A</v>
          </cell>
          <cell r="K281">
            <v>44618</v>
          </cell>
        </row>
        <row r="282">
          <cell r="C282" t="str">
            <v>1172A</v>
          </cell>
          <cell r="K282">
            <v>44618</v>
          </cell>
        </row>
        <row r="283">
          <cell r="C283" t="str">
            <v>1172A</v>
          </cell>
          <cell r="K283">
            <v>44618</v>
          </cell>
        </row>
        <row r="284">
          <cell r="C284" t="str">
            <v>1172A</v>
          </cell>
          <cell r="K284">
            <v>44618</v>
          </cell>
        </row>
        <row r="285">
          <cell r="C285" t="str">
            <v>1110A</v>
          </cell>
          <cell r="K285">
            <v>44619</v>
          </cell>
        </row>
        <row r="286">
          <cell r="C286" t="str">
            <v>1172A</v>
          </cell>
          <cell r="K286">
            <v>44619</v>
          </cell>
        </row>
        <row r="287">
          <cell r="C287" t="str">
            <v>1160E</v>
          </cell>
          <cell r="K287">
            <v>44619</v>
          </cell>
        </row>
        <row r="288">
          <cell r="C288">
            <v>512</v>
          </cell>
          <cell r="K288">
            <v>44619</v>
          </cell>
        </row>
        <row r="289">
          <cell r="C289">
            <v>5107</v>
          </cell>
          <cell r="K289">
            <v>44619</v>
          </cell>
        </row>
        <row r="290">
          <cell r="C290" t="str">
            <v>3191U</v>
          </cell>
          <cell r="K290">
            <v>44619</v>
          </cell>
        </row>
        <row r="291">
          <cell r="C291">
            <v>4021</v>
          </cell>
          <cell r="K291">
            <v>44619</v>
          </cell>
        </row>
        <row r="292">
          <cell r="C292" t="str">
            <v>3752A3</v>
          </cell>
          <cell r="K292">
            <v>44620</v>
          </cell>
        </row>
        <row r="293">
          <cell r="C293" t="str">
            <v>37512AB2</v>
          </cell>
          <cell r="K293">
            <v>44621</v>
          </cell>
        </row>
        <row r="294">
          <cell r="C294" t="str">
            <v>1172A</v>
          </cell>
          <cell r="K294">
            <v>44622</v>
          </cell>
        </row>
        <row r="295">
          <cell r="C295" t="str">
            <v>3191U</v>
          </cell>
          <cell r="K295">
            <v>44622</v>
          </cell>
        </row>
        <row r="296">
          <cell r="C296">
            <v>512</v>
          </cell>
          <cell r="K296">
            <v>44622</v>
          </cell>
        </row>
        <row r="297">
          <cell r="C297" t="str">
            <v>1160E</v>
          </cell>
          <cell r="K297">
            <v>44622</v>
          </cell>
        </row>
        <row r="298">
          <cell r="C298">
            <v>3192</v>
          </cell>
          <cell r="K298">
            <v>44622</v>
          </cell>
        </row>
        <row r="299">
          <cell r="C299" t="str">
            <v>1172A</v>
          </cell>
          <cell r="K299">
            <v>44622</v>
          </cell>
        </row>
        <row r="300">
          <cell r="C300">
            <v>37531</v>
          </cell>
          <cell r="K300">
            <v>44623</v>
          </cell>
        </row>
        <row r="301">
          <cell r="C301" t="str">
            <v>1172A</v>
          </cell>
          <cell r="K301">
            <v>44623</v>
          </cell>
        </row>
        <row r="302">
          <cell r="C302" t="str">
            <v>3752A1</v>
          </cell>
          <cell r="K302">
            <v>44623</v>
          </cell>
        </row>
        <row r="303">
          <cell r="C303" t="str">
            <v/>
          </cell>
          <cell r="K303">
            <v>44623</v>
          </cell>
        </row>
        <row r="304">
          <cell r="C304" t="str">
            <v/>
          </cell>
          <cell r="K304">
            <v>44623</v>
          </cell>
        </row>
        <row r="305">
          <cell r="C305">
            <v>512</v>
          </cell>
          <cell r="K305">
            <v>44623</v>
          </cell>
        </row>
        <row r="306">
          <cell r="C306">
            <v>512</v>
          </cell>
          <cell r="K306">
            <v>44623</v>
          </cell>
        </row>
        <row r="307">
          <cell r="C307" t="str">
            <v>37540A</v>
          </cell>
          <cell r="K307">
            <v>44623</v>
          </cell>
        </row>
        <row r="308">
          <cell r="C308" t="str">
            <v>1172A</v>
          </cell>
          <cell r="K308">
            <v>44624</v>
          </cell>
        </row>
        <row r="309">
          <cell r="C309" t="str">
            <v>3191U</v>
          </cell>
          <cell r="K309">
            <v>44624</v>
          </cell>
        </row>
        <row r="310">
          <cell r="C310" t="str">
            <v>37540B</v>
          </cell>
          <cell r="K310">
            <v>44624</v>
          </cell>
        </row>
        <row r="311">
          <cell r="C311">
            <v>512</v>
          </cell>
          <cell r="K311">
            <v>44624</v>
          </cell>
        </row>
        <row r="312">
          <cell r="C312">
            <v>512</v>
          </cell>
          <cell r="K312">
            <v>44624</v>
          </cell>
        </row>
        <row r="313">
          <cell r="C313" t="str">
            <v>306B</v>
          </cell>
          <cell r="K313">
            <v>44624</v>
          </cell>
        </row>
        <row r="314">
          <cell r="C314" t="str">
            <v>3191U</v>
          </cell>
          <cell r="K314">
            <v>44624</v>
          </cell>
        </row>
        <row r="315">
          <cell r="C315" t="str">
            <v>4011A</v>
          </cell>
          <cell r="K315">
            <v>44624</v>
          </cell>
        </row>
        <row r="316">
          <cell r="C316" t="str">
            <v>5111A</v>
          </cell>
          <cell r="K316">
            <v>44624</v>
          </cell>
        </row>
        <row r="317">
          <cell r="C317" t="str">
            <v>3752A1</v>
          </cell>
          <cell r="K317">
            <v>44625</v>
          </cell>
        </row>
        <row r="318">
          <cell r="C318" t="str">
            <v>306B</v>
          </cell>
          <cell r="K318">
            <v>44625</v>
          </cell>
        </row>
        <row r="319">
          <cell r="C319" t="str">
            <v>4011A</v>
          </cell>
          <cell r="K319">
            <v>44625</v>
          </cell>
        </row>
        <row r="320">
          <cell r="C320" t="str">
            <v>1172A</v>
          </cell>
          <cell r="K320">
            <v>44626</v>
          </cell>
        </row>
        <row r="321">
          <cell r="C321">
            <v>4101</v>
          </cell>
          <cell r="K321">
            <v>44628</v>
          </cell>
        </row>
        <row r="322">
          <cell r="C322">
            <v>5091</v>
          </cell>
          <cell r="K322">
            <v>44628</v>
          </cell>
        </row>
        <row r="323">
          <cell r="C323" t="str">
            <v>1110A</v>
          </cell>
          <cell r="K323">
            <v>44628</v>
          </cell>
        </row>
        <row r="324">
          <cell r="C324" t="str">
            <v>3191U</v>
          </cell>
          <cell r="K324">
            <v>44628</v>
          </cell>
        </row>
        <row r="325">
          <cell r="C325" t="str">
            <v>3752A1</v>
          </cell>
          <cell r="K325">
            <v>44628</v>
          </cell>
        </row>
        <row r="326">
          <cell r="C326" t="str">
            <v>1172A</v>
          </cell>
          <cell r="K326">
            <v>44629</v>
          </cell>
        </row>
        <row r="327">
          <cell r="C327">
            <v>37530</v>
          </cell>
          <cell r="K327">
            <v>44629</v>
          </cell>
        </row>
        <row r="328">
          <cell r="C328">
            <v>37531</v>
          </cell>
          <cell r="K328">
            <v>44629</v>
          </cell>
        </row>
        <row r="329">
          <cell r="C329" t="str">
            <v>1172A</v>
          </cell>
          <cell r="K329">
            <v>44629</v>
          </cell>
        </row>
        <row r="330">
          <cell r="C330" t="str">
            <v>375413B</v>
          </cell>
          <cell r="K330">
            <v>44629</v>
          </cell>
        </row>
        <row r="331">
          <cell r="C331" t="str">
            <v>11922</v>
          </cell>
          <cell r="K331">
            <v>44629</v>
          </cell>
        </row>
        <row r="332">
          <cell r="C332">
            <v>11922</v>
          </cell>
          <cell r="K332">
            <v>44629</v>
          </cell>
        </row>
        <row r="333">
          <cell r="C333" t="str">
            <v>1110A</v>
          </cell>
          <cell r="K333">
            <v>44629</v>
          </cell>
        </row>
        <row r="334">
          <cell r="C334" t="str">
            <v>1172A</v>
          </cell>
          <cell r="K334">
            <v>44629</v>
          </cell>
        </row>
        <row r="335">
          <cell r="C335" t="str">
            <v>6001A</v>
          </cell>
          <cell r="K335">
            <v>44629</v>
          </cell>
        </row>
        <row r="336">
          <cell r="C336">
            <v>512</v>
          </cell>
          <cell r="K336">
            <v>44629</v>
          </cell>
        </row>
        <row r="337">
          <cell r="C337" t="str">
            <v>1172A</v>
          </cell>
          <cell r="K337">
            <v>44630</v>
          </cell>
        </row>
        <row r="338">
          <cell r="C338" t="str">
            <v>1172A</v>
          </cell>
          <cell r="K338">
            <v>44630</v>
          </cell>
        </row>
        <row r="339">
          <cell r="C339">
            <v>512</v>
          </cell>
          <cell r="K339">
            <v>44630</v>
          </cell>
        </row>
        <row r="340">
          <cell r="C340">
            <v>512</v>
          </cell>
          <cell r="K340">
            <v>44630</v>
          </cell>
        </row>
        <row r="341">
          <cell r="C341" t="str">
            <v>1172A</v>
          </cell>
          <cell r="K341">
            <v>44631</v>
          </cell>
        </row>
        <row r="342">
          <cell r="C342" t="str">
            <v>1172A</v>
          </cell>
          <cell r="K342">
            <v>44631</v>
          </cell>
        </row>
        <row r="343">
          <cell r="C343" t="str">
            <v>1172A</v>
          </cell>
          <cell r="K343">
            <v>44631</v>
          </cell>
        </row>
        <row r="344">
          <cell r="C344" t="str">
            <v>1172A</v>
          </cell>
          <cell r="K344">
            <v>44631</v>
          </cell>
        </row>
        <row r="345">
          <cell r="C345" t="str">
            <v>1172A</v>
          </cell>
          <cell r="K345">
            <v>44633</v>
          </cell>
        </row>
        <row r="346">
          <cell r="C346" t="str">
            <v>1172A</v>
          </cell>
          <cell r="K346">
            <v>44635</v>
          </cell>
        </row>
        <row r="347">
          <cell r="C347" t="str">
            <v>1172A</v>
          </cell>
          <cell r="K347">
            <v>44635</v>
          </cell>
        </row>
        <row r="348">
          <cell r="C348">
            <v>512</v>
          </cell>
          <cell r="K348">
            <v>44635</v>
          </cell>
        </row>
        <row r="349">
          <cell r="C349">
            <v>512</v>
          </cell>
          <cell r="K349">
            <v>44635</v>
          </cell>
        </row>
        <row r="350">
          <cell r="C350" t="str">
            <v>3191U</v>
          </cell>
          <cell r="K350">
            <v>44635</v>
          </cell>
        </row>
        <row r="351">
          <cell r="C351" t="str">
            <v>5111A</v>
          </cell>
          <cell r="K351">
            <v>44635</v>
          </cell>
        </row>
        <row r="352">
          <cell r="C352" t="str">
            <v/>
          </cell>
          <cell r="K352">
            <v>44636</v>
          </cell>
        </row>
        <row r="353">
          <cell r="C353" t="str">
            <v>1172A</v>
          </cell>
          <cell r="K353">
            <v>44636</v>
          </cell>
        </row>
        <row r="354">
          <cell r="C354" t="str">
            <v>1172A</v>
          </cell>
          <cell r="K354">
            <v>44636</v>
          </cell>
        </row>
        <row r="355">
          <cell r="C355" t="str">
            <v>37512AB2</v>
          </cell>
          <cell r="K355">
            <v>44636</v>
          </cell>
        </row>
        <row r="356">
          <cell r="C356" t="str">
            <v>3191U</v>
          </cell>
          <cell r="K356">
            <v>44636</v>
          </cell>
        </row>
        <row r="357">
          <cell r="C357" t="str">
            <v>37540B</v>
          </cell>
          <cell r="K357">
            <v>44636</v>
          </cell>
        </row>
        <row r="358">
          <cell r="C358">
            <v>512</v>
          </cell>
          <cell r="K358">
            <v>44636</v>
          </cell>
        </row>
        <row r="359">
          <cell r="C359">
            <v>3192</v>
          </cell>
          <cell r="K359">
            <v>44636</v>
          </cell>
        </row>
        <row r="360">
          <cell r="C360">
            <v>4024</v>
          </cell>
          <cell r="K360">
            <v>44636</v>
          </cell>
        </row>
        <row r="361">
          <cell r="C361" t="str">
            <v>3191U</v>
          </cell>
          <cell r="K361">
            <v>44636</v>
          </cell>
        </row>
        <row r="362">
          <cell r="C362" t="str">
            <v>380A1</v>
          </cell>
          <cell r="K362">
            <v>44636</v>
          </cell>
        </row>
        <row r="363">
          <cell r="C363" t="str">
            <v>4011A</v>
          </cell>
          <cell r="K363">
            <v>44636</v>
          </cell>
        </row>
        <row r="364">
          <cell r="C364" t="str">
            <v>4017FB</v>
          </cell>
          <cell r="K364">
            <v>44636</v>
          </cell>
        </row>
        <row r="365">
          <cell r="C365" t="str">
            <v>4011A</v>
          </cell>
          <cell r="K365">
            <v>44638</v>
          </cell>
        </row>
        <row r="366">
          <cell r="C366" t="str">
            <v>1172A</v>
          </cell>
          <cell r="K366">
            <v>44638</v>
          </cell>
        </row>
        <row r="367">
          <cell r="C367" t="str">
            <v>1172A</v>
          </cell>
          <cell r="K367">
            <v>44639</v>
          </cell>
        </row>
        <row r="368">
          <cell r="C368">
            <v>512</v>
          </cell>
          <cell r="K368">
            <v>44639</v>
          </cell>
        </row>
        <row r="369">
          <cell r="C369">
            <v>5107</v>
          </cell>
          <cell r="K369">
            <v>44639</v>
          </cell>
        </row>
        <row r="370">
          <cell r="C370" t="str">
            <v>3191U</v>
          </cell>
          <cell r="K370">
            <v>44639</v>
          </cell>
        </row>
        <row r="371">
          <cell r="C371" t="str">
            <v>1172A</v>
          </cell>
          <cell r="K371">
            <v>44640</v>
          </cell>
        </row>
        <row r="372">
          <cell r="C372" t="str">
            <v>1180A</v>
          </cell>
          <cell r="K372">
            <v>44640</v>
          </cell>
        </row>
        <row r="373">
          <cell r="C373" t="str">
            <v>3191U</v>
          </cell>
          <cell r="K373">
            <v>44640</v>
          </cell>
        </row>
        <row r="374">
          <cell r="C374" t="str">
            <v>4011A</v>
          </cell>
          <cell r="K374">
            <v>44640</v>
          </cell>
        </row>
        <row r="375">
          <cell r="C375" t="str">
            <v>3752A1</v>
          </cell>
          <cell r="K375">
            <v>44640</v>
          </cell>
        </row>
        <row r="376">
          <cell r="C376" t="str">
            <v>37540B</v>
          </cell>
          <cell r="K376">
            <v>44640</v>
          </cell>
        </row>
        <row r="377">
          <cell r="C377" t="str">
            <v>37540B</v>
          </cell>
          <cell r="K377">
            <v>44640</v>
          </cell>
        </row>
        <row r="378">
          <cell r="C378" t="str">
            <v>1172A</v>
          </cell>
          <cell r="K378">
            <v>44640</v>
          </cell>
        </row>
        <row r="379">
          <cell r="C379" t="str">
            <v>1172A</v>
          </cell>
          <cell r="K379">
            <v>44640</v>
          </cell>
        </row>
        <row r="380">
          <cell r="C380">
            <v>5091</v>
          </cell>
          <cell r="K380">
            <v>44641</v>
          </cell>
        </row>
        <row r="381">
          <cell r="C381">
            <v>5092</v>
          </cell>
          <cell r="K381">
            <v>44641</v>
          </cell>
        </row>
        <row r="382">
          <cell r="C382" t="str">
            <v>1172A</v>
          </cell>
          <cell r="K382">
            <v>44641</v>
          </cell>
        </row>
        <row r="383">
          <cell r="C383" t="str">
            <v>3191U</v>
          </cell>
          <cell r="K383">
            <v>44641</v>
          </cell>
        </row>
        <row r="384">
          <cell r="C384" t="str">
            <v>1172A</v>
          </cell>
          <cell r="K384">
            <v>44641</v>
          </cell>
        </row>
        <row r="385">
          <cell r="C385">
            <v>1102</v>
          </cell>
          <cell r="K385">
            <v>44641</v>
          </cell>
        </row>
        <row r="386">
          <cell r="C386" t="str">
            <v>1172A</v>
          </cell>
          <cell r="K386">
            <v>44641</v>
          </cell>
        </row>
        <row r="387">
          <cell r="C387" t="str">
            <v>1172A</v>
          </cell>
          <cell r="K387">
            <v>44641</v>
          </cell>
        </row>
        <row r="388">
          <cell r="C388" t="str">
            <v>1172A</v>
          </cell>
          <cell r="K388">
            <v>44641</v>
          </cell>
        </row>
        <row r="389">
          <cell r="C389" t="str">
            <v>3191U</v>
          </cell>
          <cell r="K389">
            <v>44641</v>
          </cell>
        </row>
        <row r="390">
          <cell r="C390">
            <v>512</v>
          </cell>
          <cell r="K390">
            <v>44642</v>
          </cell>
        </row>
        <row r="391">
          <cell r="C391">
            <v>5091</v>
          </cell>
          <cell r="K391">
            <v>44642</v>
          </cell>
        </row>
        <row r="392">
          <cell r="C392" t="str">
            <v>1172A</v>
          </cell>
          <cell r="K392">
            <v>44642</v>
          </cell>
        </row>
        <row r="393">
          <cell r="C393" t="str">
            <v>5111A</v>
          </cell>
          <cell r="K393">
            <v>44642</v>
          </cell>
        </row>
        <row r="394">
          <cell r="C394" t="str">
            <v>37512AB2</v>
          </cell>
          <cell r="K394">
            <v>44642</v>
          </cell>
        </row>
        <row r="395">
          <cell r="C395" t="str">
            <v>3811A</v>
          </cell>
          <cell r="K395">
            <v>44642</v>
          </cell>
        </row>
        <row r="396">
          <cell r="C396" t="str">
            <v>1172A</v>
          </cell>
          <cell r="K396">
            <v>44642</v>
          </cell>
        </row>
        <row r="397">
          <cell r="C397" t="str">
            <v>1172A</v>
          </cell>
          <cell r="K397">
            <v>44642</v>
          </cell>
        </row>
        <row r="398">
          <cell r="C398" t="str">
            <v>4011A</v>
          </cell>
          <cell r="K398">
            <v>44642</v>
          </cell>
        </row>
        <row r="399">
          <cell r="C399">
            <v>1175</v>
          </cell>
          <cell r="K399">
            <v>44642</v>
          </cell>
        </row>
        <row r="400">
          <cell r="C400" t="str">
            <v>3752A1</v>
          </cell>
          <cell r="K400">
            <v>44643</v>
          </cell>
        </row>
        <row r="401">
          <cell r="C401" t="str">
            <v>1172A</v>
          </cell>
          <cell r="K401">
            <v>44643</v>
          </cell>
        </row>
        <row r="402">
          <cell r="C402" t="str">
            <v>1172A</v>
          </cell>
          <cell r="K402">
            <v>44644</v>
          </cell>
        </row>
        <row r="403">
          <cell r="C403" t="str">
            <v>1172A</v>
          </cell>
          <cell r="K403">
            <v>44644</v>
          </cell>
        </row>
        <row r="404">
          <cell r="C404" t="str">
            <v>1172A</v>
          </cell>
          <cell r="K404">
            <v>44644</v>
          </cell>
        </row>
        <row r="405">
          <cell r="C405">
            <v>4021</v>
          </cell>
          <cell r="K405">
            <v>44645</v>
          </cell>
        </row>
        <row r="406">
          <cell r="C406" t="str">
            <v>306B</v>
          </cell>
          <cell r="K406">
            <v>44645</v>
          </cell>
        </row>
        <row r="407">
          <cell r="C407">
            <v>3192</v>
          </cell>
          <cell r="K407">
            <v>44645</v>
          </cell>
        </row>
        <row r="408">
          <cell r="C408" t="str">
            <v>1172A</v>
          </cell>
          <cell r="K408">
            <v>44645</v>
          </cell>
        </row>
        <row r="409">
          <cell r="C409" t="str">
            <v>1172A</v>
          </cell>
          <cell r="K409">
            <v>44645</v>
          </cell>
        </row>
        <row r="410">
          <cell r="C410">
            <v>4024</v>
          </cell>
          <cell r="K410">
            <v>44646</v>
          </cell>
        </row>
        <row r="411">
          <cell r="C411" t="str">
            <v>306B</v>
          </cell>
          <cell r="K411">
            <v>44646</v>
          </cell>
        </row>
        <row r="412">
          <cell r="C412" t="str">
            <v>4011A</v>
          </cell>
          <cell r="K412">
            <v>44646</v>
          </cell>
        </row>
        <row r="413">
          <cell r="C413">
            <v>5092</v>
          </cell>
          <cell r="K413">
            <v>44646</v>
          </cell>
        </row>
        <row r="414">
          <cell r="C414" t="str">
            <v>1172A</v>
          </cell>
          <cell r="K414">
            <v>44647</v>
          </cell>
        </row>
        <row r="415">
          <cell r="C415" t="str">
            <v>1172A</v>
          </cell>
          <cell r="K415">
            <v>44648</v>
          </cell>
        </row>
        <row r="416">
          <cell r="C416">
            <v>512</v>
          </cell>
          <cell r="K416">
            <v>44648</v>
          </cell>
        </row>
        <row r="417">
          <cell r="C417">
            <v>512</v>
          </cell>
          <cell r="K417">
            <v>44648</v>
          </cell>
        </row>
        <row r="418">
          <cell r="C418" t="str">
            <v>4011A</v>
          </cell>
          <cell r="K418">
            <v>44648</v>
          </cell>
        </row>
        <row r="419">
          <cell r="C419" t="str">
            <v>1172A</v>
          </cell>
          <cell r="K419">
            <v>44649</v>
          </cell>
        </row>
        <row r="420">
          <cell r="C420" t="str">
            <v>1172A</v>
          </cell>
          <cell r="K420">
            <v>44649</v>
          </cell>
        </row>
        <row r="421">
          <cell r="C421" t="str">
            <v>3752A1</v>
          </cell>
          <cell r="K421">
            <v>44650</v>
          </cell>
        </row>
        <row r="422">
          <cell r="C422" t="str">
            <v>1110A</v>
          </cell>
          <cell r="K422">
            <v>44650</v>
          </cell>
        </row>
        <row r="423">
          <cell r="C423" t="str">
            <v>1111D1</v>
          </cell>
          <cell r="K423">
            <v>44650</v>
          </cell>
        </row>
        <row r="424">
          <cell r="C424">
            <v>512</v>
          </cell>
          <cell r="K424">
            <v>44650</v>
          </cell>
        </row>
        <row r="425">
          <cell r="C425" t="str">
            <v>1180C</v>
          </cell>
          <cell r="K425">
            <v>44650</v>
          </cell>
        </row>
        <row r="426">
          <cell r="C426" t="str">
            <v>3752A4</v>
          </cell>
          <cell r="K426">
            <v>44650</v>
          </cell>
        </row>
        <row r="427">
          <cell r="C427" t="str">
            <v>37540B</v>
          </cell>
          <cell r="K427">
            <v>44650</v>
          </cell>
        </row>
        <row r="428">
          <cell r="C428">
            <v>1175</v>
          </cell>
          <cell r="K428">
            <v>44650</v>
          </cell>
        </row>
        <row r="429">
          <cell r="C429" t="str">
            <v/>
          </cell>
          <cell r="K429">
            <v>44650</v>
          </cell>
        </row>
        <row r="430">
          <cell r="C430" t="str">
            <v>1180A</v>
          </cell>
          <cell r="K430">
            <v>44651</v>
          </cell>
        </row>
        <row r="431">
          <cell r="C431" t="str">
            <v>1172A</v>
          </cell>
          <cell r="K431">
            <v>44651</v>
          </cell>
        </row>
        <row r="432">
          <cell r="C432" t="str">
            <v>37540B</v>
          </cell>
          <cell r="K432">
            <v>44651</v>
          </cell>
        </row>
        <row r="433">
          <cell r="C433">
            <v>3192</v>
          </cell>
          <cell r="K433">
            <v>44651</v>
          </cell>
        </row>
        <row r="434">
          <cell r="C434" t="str">
            <v>1172A</v>
          </cell>
          <cell r="K434">
            <v>44651</v>
          </cell>
        </row>
        <row r="435">
          <cell r="C435" t="str">
            <v>1172A</v>
          </cell>
          <cell r="K435">
            <v>44652</v>
          </cell>
        </row>
        <row r="436">
          <cell r="C436" t="str">
            <v/>
          </cell>
          <cell r="K436">
            <v>44653</v>
          </cell>
        </row>
        <row r="437">
          <cell r="C437" t="str">
            <v>1172A</v>
          </cell>
          <cell r="K437">
            <v>44653</v>
          </cell>
        </row>
        <row r="438">
          <cell r="C438">
            <v>512</v>
          </cell>
          <cell r="K438">
            <v>44653</v>
          </cell>
        </row>
        <row r="439">
          <cell r="C439">
            <v>512</v>
          </cell>
          <cell r="K439">
            <v>44653</v>
          </cell>
        </row>
        <row r="440">
          <cell r="C440">
            <v>5107</v>
          </cell>
          <cell r="K440">
            <v>44653</v>
          </cell>
        </row>
        <row r="441">
          <cell r="C441">
            <v>5107</v>
          </cell>
          <cell r="K441">
            <v>44653</v>
          </cell>
        </row>
        <row r="442">
          <cell r="C442">
            <v>5107</v>
          </cell>
          <cell r="K442">
            <v>44653</v>
          </cell>
        </row>
        <row r="443">
          <cell r="C443" t="str">
            <v>3191U</v>
          </cell>
          <cell r="K443">
            <v>44653</v>
          </cell>
        </row>
        <row r="444">
          <cell r="C444" t="str">
            <v>5111A</v>
          </cell>
          <cell r="K444">
            <v>44653</v>
          </cell>
        </row>
        <row r="445">
          <cell r="C445">
            <v>512</v>
          </cell>
          <cell r="K445">
            <v>44653</v>
          </cell>
        </row>
        <row r="446">
          <cell r="C446" t="str">
            <v>306B</v>
          </cell>
          <cell r="K446">
            <v>44653</v>
          </cell>
        </row>
        <row r="447">
          <cell r="C447" t="str">
            <v>3191U</v>
          </cell>
          <cell r="K447">
            <v>44653</v>
          </cell>
        </row>
        <row r="448">
          <cell r="C448" t="str">
            <v>3752A1</v>
          </cell>
          <cell r="K448">
            <v>44654</v>
          </cell>
        </row>
        <row r="449">
          <cell r="C449" t="str">
            <v>5111A</v>
          </cell>
          <cell r="K449">
            <v>44654</v>
          </cell>
        </row>
        <row r="450">
          <cell r="C450" t="str">
            <v>1172A</v>
          </cell>
          <cell r="K450">
            <v>44654</v>
          </cell>
        </row>
        <row r="451">
          <cell r="C451" t="str">
            <v>3191U</v>
          </cell>
          <cell r="K451">
            <v>44654</v>
          </cell>
        </row>
        <row r="452">
          <cell r="C452" t="str">
            <v>1172A</v>
          </cell>
          <cell r="K452">
            <v>44655</v>
          </cell>
        </row>
        <row r="453">
          <cell r="C453" t="str">
            <v>1172A</v>
          </cell>
          <cell r="K453">
            <v>44655</v>
          </cell>
        </row>
        <row r="454">
          <cell r="C454" t="str">
            <v>4011A</v>
          </cell>
          <cell r="K454">
            <v>44655</v>
          </cell>
        </row>
        <row r="455">
          <cell r="C455">
            <v>4024</v>
          </cell>
          <cell r="K455">
            <v>44656</v>
          </cell>
        </row>
        <row r="456">
          <cell r="C456">
            <v>5091</v>
          </cell>
          <cell r="K456">
            <v>44656</v>
          </cell>
        </row>
        <row r="457">
          <cell r="C457" t="str">
            <v>3191U</v>
          </cell>
          <cell r="K457">
            <v>44656</v>
          </cell>
        </row>
        <row r="458">
          <cell r="C458" t="str">
            <v>4011A</v>
          </cell>
          <cell r="K458">
            <v>44656</v>
          </cell>
        </row>
        <row r="459">
          <cell r="C459">
            <v>4021</v>
          </cell>
          <cell r="K459">
            <v>44656</v>
          </cell>
        </row>
        <row r="460">
          <cell r="C460">
            <v>5091</v>
          </cell>
          <cell r="K460">
            <v>44656</v>
          </cell>
        </row>
        <row r="461">
          <cell r="C461" t="str">
            <v>306B</v>
          </cell>
          <cell r="K461">
            <v>44656</v>
          </cell>
        </row>
        <row r="462">
          <cell r="C462" t="str">
            <v>3191U</v>
          </cell>
          <cell r="K462">
            <v>44656</v>
          </cell>
        </row>
        <row r="463">
          <cell r="C463" t="str">
            <v>3752A1</v>
          </cell>
          <cell r="K463">
            <v>44656</v>
          </cell>
        </row>
        <row r="464">
          <cell r="C464" t="str">
            <v>37540B</v>
          </cell>
          <cell r="K464">
            <v>44657</v>
          </cell>
        </row>
        <row r="465">
          <cell r="C465">
            <v>1175</v>
          </cell>
          <cell r="K465">
            <v>44657</v>
          </cell>
        </row>
        <row r="466">
          <cell r="C466" t="str">
            <v>3752A1</v>
          </cell>
          <cell r="K466">
            <v>44657</v>
          </cell>
        </row>
        <row r="467">
          <cell r="C467" t="str">
            <v>37540B</v>
          </cell>
          <cell r="K467">
            <v>44657</v>
          </cell>
        </row>
        <row r="468">
          <cell r="C468">
            <v>3192</v>
          </cell>
          <cell r="K468">
            <v>44657</v>
          </cell>
        </row>
        <row r="469">
          <cell r="C469">
            <v>4024</v>
          </cell>
          <cell r="K469">
            <v>44657</v>
          </cell>
        </row>
        <row r="470">
          <cell r="C470" t="str">
            <v>1172A</v>
          </cell>
          <cell r="K470">
            <v>44657</v>
          </cell>
        </row>
        <row r="471">
          <cell r="C471" t="str">
            <v>306B</v>
          </cell>
          <cell r="K471">
            <v>44657</v>
          </cell>
        </row>
        <row r="472">
          <cell r="C472" t="str">
            <v>3191U</v>
          </cell>
          <cell r="K472">
            <v>44657</v>
          </cell>
        </row>
        <row r="473">
          <cell r="C473" t="str">
            <v>3752A</v>
          </cell>
          <cell r="K473">
            <v>44657</v>
          </cell>
        </row>
        <row r="474">
          <cell r="C474" t="str">
            <v>4011A</v>
          </cell>
          <cell r="K474">
            <v>44657</v>
          </cell>
        </row>
        <row r="475">
          <cell r="C475" t="str">
            <v>1110A</v>
          </cell>
          <cell r="K475">
            <v>44658</v>
          </cell>
        </row>
        <row r="476">
          <cell r="C476" t="str">
            <v>1111D1</v>
          </cell>
          <cell r="K476">
            <v>44658</v>
          </cell>
        </row>
        <row r="477">
          <cell r="C477" t="str">
            <v/>
          </cell>
          <cell r="K477">
            <v>44658</v>
          </cell>
        </row>
        <row r="478">
          <cell r="C478" t="str">
            <v/>
          </cell>
          <cell r="K478">
            <v>44658</v>
          </cell>
        </row>
        <row r="479">
          <cell r="C479" t="str">
            <v>1128C</v>
          </cell>
          <cell r="K479">
            <v>44658</v>
          </cell>
        </row>
        <row r="480">
          <cell r="C480" t="str">
            <v>1144A</v>
          </cell>
          <cell r="K480">
            <v>44658</v>
          </cell>
        </row>
        <row r="481">
          <cell r="C481" t="str">
            <v/>
          </cell>
          <cell r="K481">
            <v>44658</v>
          </cell>
        </row>
        <row r="482">
          <cell r="C482" t="str">
            <v/>
          </cell>
          <cell r="K482">
            <v>44658</v>
          </cell>
        </row>
        <row r="483">
          <cell r="C483" t="str">
            <v>1172A</v>
          </cell>
          <cell r="K483">
            <v>44658</v>
          </cell>
        </row>
        <row r="484">
          <cell r="C484" t="str">
            <v>37512AB2</v>
          </cell>
          <cell r="K484">
            <v>44659</v>
          </cell>
        </row>
        <row r="485">
          <cell r="C485">
            <v>5091</v>
          </cell>
          <cell r="K485">
            <v>44659</v>
          </cell>
        </row>
        <row r="486">
          <cell r="C486" t="str">
            <v>3752A1</v>
          </cell>
          <cell r="K486">
            <v>44659</v>
          </cell>
        </row>
        <row r="487">
          <cell r="C487" t="str">
            <v>1172A</v>
          </cell>
          <cell r="K487">
            <v>44659</v>
          </cell>
        </row>
        <row r="488">
          <cell r="C488" t="str">
            <v>1172A</v>
          </cell>
          <cell r="K488">
            <v>44659</v>
          </cell>
        </row>
        <row r="489">
          <cell r="C489" t="str">
            <v>1172A</v>
          </cell>
          <cell r="K489">
            <v>44659</v>
          </cell>
        </row>
        <row r="490">
          <cell r="C490" t="str">
            <v>1172A</v>
          </cell>
          <cell r="K490">
            <v>44659</v>
          </cell>
        </row>
        <row r="491">
          <cell r="C491" t="str">
            <v>37540B</v>
          </cell>
          <cell r="K491">
            <v>44660</v>
          </cell>
        </row>
        <row r="492">
          <cell r="C492" t="str">
            <v>1172A</v>
          </cell>
          <cell r="K492">
            <v>44662</v>
          </cell>
        </row>
        <row r="493">
          <cell r="C493" t="str">
            <v>3752A1</v>
          </cell>
          <cell r="K493">
            <v>44662</v>
          </cell>
        </row>
        <row r="494">
          <cell r="C494" t="str">
            <v>1110A</v>
          </cell>
          <cell r="K494">
            <v>44662</v>
          </cell>
        </row>
        <row r="495">
          <cell r="C495" t="str">
            <v>5111A</v>
          </cell>
          <cell r="K495">
            <v>44662</v>
          </cell>
        </row>
        <row r="496">
          <cell r="C496">
            <v>512</v>
          </cell>
          <cell r="K496">
            <v>44662</v>
          </cell>
        </row>
        <row r="497">
          <cell r="C497">
            <v>512</v>
          </cell>
          <cell r="K497">
            <v>44662</v>
          </cell>
        </row>
        <row r="498">
          <cell r="C498" t="str">
            <v>3191U</v>
          </cell>
          <cell r="K498">
            <v>44662</v>
          </cell>
        </row>
        <row r="499">
          <cell r="C499" t="str">
            <v>3752A1</v>
          </cell>
          <cell r="K499">
            <v>44662</v>
          </cell>
        </row>
        <row r="500">
          <cell r="C500" t="str">
            <v>3752A3</v>
          </cell>
          <cell r="K500">
            <v>44662</v>
          </cell>
        </row>
        <row r="501">
          <cell r="C501" t="str">
            <v>3752A4</v>
          </cell>
          <cell r="K501">
            <v>44662</v>
          </cell>
        </row>
        <row r="502">
          <cell r="C502" t="str">
            <v>37540B</v>
          </cell>
          <cell r="K502">
            <v>44662</v>
          </cell>
        </row>
        <row r="503">
          <cell r="C503" t="str">
            <v>1172A</v>
          </cell>
          <cell r="K503">
            <v>44662</v>
          </cell>
        </row>
        <row r="504">
          <cell r="C504" t="str">
            <v>1225C2A</v>
          </cell>
          <cell r="K504">
            <v>44663</v>
          </cell>
        </row>
        <row r="505">
          <cell r="C505" t="str">
            <v>37540B</v>
          </cell>
          <cell r="K505">
            <v>44663</v>
          </cell>
        </row>
        <row r="506">
          <cell r="C506" t="str">
            <v>1110A</v>
          </cell>
          <cell r="K506">
            <v>44664</v>
          </cell>
        </row>
        <row r="507">
          <cell r="C507" t="str">
            <v>1172A</v>
          </cell>
          <cell r="K507">
            <v>44664</v>
          </cell>
        </row>
        <row r="508">
          <cell r="C508" t="str">
            <v>3191U</v>
          </cell>
          <cell r="K508">
            <v>44664</v>
          </cell>
        </row>
        <row r="509">
          <cell r="C509" t="str">
            <v>1172A</v>
          </cell>
          <cell r="K509">
            <v>44664</v>
          </cell>
        </row>
        <row r="510">
          <cell r="C510" t="str">
            <v>1172A</v>
          </cell>
          <cell r="K510">
            <v>44664</v>
          </cell>
        </row>
        <row r="511">
          <cell r="C511" t="str">
            <v>3752A1</v>
          </cell>
          <cell r="K511">
            <v>44664</v>
          </cell>
        </row>
        <row r="512">
          <cell r="C512" t="str">
            <v>1172A</v>
          </cell>
          <cell r="K512">
            <v>44664</v>
          </cell>
        </row>
        <row r="513">
          <cell r="C513" t="str">
            <v>3191U</v>
          </cell>
          <cell r="K513">
            <v>44664</v>
          </cell>
        </row>
        <row r="514">
          <cell r="C514">
            <v>3759</v>
          </cell>
          <cell r="K514">
            <v>44664</v>
          </cell>
        </row>
        <row r="515">
          <cell r="C515">
            <v>5094</v>
          </cell>
          <cell r="K515">
            <v>44664</v>
          </cell>
        </row>
        <row r="516">
          <cell r="C516" t="str">
            <v>1172A</v>
          </cell>
          <cell r="K516">
            <v>44664</v>
          </cell>
        </row>
        <row r="517">
          <cell r="C517" t="str">
            <v>306B</v>
          </cell>
          <cell r="K517">
            <v>44664</v>
          </cell>
        </row>
        <row r="518">
          <cell r="C518" t="str">
            <v>3752A4</v>
          </cell>
          <cell r="K518">
            <v>44664</v>
          </cell>
        </row>
        <row r="519">
          <cell r="C519" t="str">
            <v>3752A1</v>
          </cell>
          <cell r="K519">
            <v>44665</v>
          </cell>
        </row>
        <row r="520">
          <cell r="C520">
            <v>3192</v>
          </cell>
          <cell r="K520">
            <v>44665</v>
          </cell>
        </row>
        <row r="521">
          <cell r="C521">
            <v>512</v>
          </cell>
          <cell r="K521">
            <v>44665</v>
          </cell>
        </row>
        <row r="522">
          <cell r="C522" t="str">
            <v>306B</v>
          </cell>
          <cell r="K522">
            <v>44665</v>
          </cell>
        </row>
        <row r="523">
          <cell r="C523" t="str">
            <v>3191U</v>
          </cell>
          <cell r="K523">
            <v>44665</v>
          </cell>
        </row>
        <row r="524">
          <cell r="C524" t="str">
            <v>5111A</v>
          </cell>
          <cell r="K524">
            <v>44665</v>
          </cell>
        </row>
        <row r="525">
          <cell r="C525" t="str">
            <v>1172A</v>
          </cell>
          <cell r="K525">
            <v>44666</v>
          </cell>
        </row>
        <row r="526">
          <cell r="C526" t="str">
            <v>1172A</v>
          </cell>
          <cell r="K526">
            <v>44667</v>
          </cell>
        </row>
        <row r="527">
          <cell r="C527" t="str">
            <v>1172A</v>
          </cell>
          <cell r="K527">
            <v>44667</v>
          </cell>
        </row>
        <row r="528">
          <cell r="C528" t="str">
            <v>5111A</v>
          </cell>
          <cell r="K528">
            <v>44669</v>
          </cell>
        </row>
        <row r="529">
          <cell r="C529" t="str">
            <v>37540B</v>
          </cell>
          <cell r="K529">
            <v>44669</v>
          </cell>
        </row>
        <row r="530">
          <cell r="C530">
            <v>3753</v>
          </cell>
          <cell r="K530">
            <v>44669</v>
          </cell>
        </row>
        <row r="531">
          <cell r="C531">
            <v>3754</v>
          </cell>
          <cell r="K531">
            <v>44669</v>
          </cell>
        </row>
        <row r="532">
          <cell r="C532" t="str">
            <v>3752A1</v>
          </cell>
          <cell r="K532">
            <v>44669</v>
          </cell>
        </row>
        <row r="533">
          <cell r="C533" t="str">
            <v>3752A4</v>
          </cell>
          <cell r="K533">
            <v>44669</v>
          </cell>
        </row>
        <row r="534">
          <cell r="C534" t="str">
            <v>1110A</v>
          </cell>
          <cell r="K534">
            <v>44670</v>
          </cell>
        </row>
        <row r="535">
          <cell r="C535" t="str">
            <v>306B</v>
          </cell>
          <cell r="K535">
            <v>44670</v>
          </cell>
        </row>
        <row r="536">
          <cell r="C536" t="str">
            <v>1172A</v>
          </cell>
          <cell r="K536">
            <v>44670</v>
          </cell>
        </row>
        <row r="537">
          <cell r="C537">
            <v>512</v>
          </cell>
          <cell r="K537">
            <v>44670</v>
          </cell>
        </row>
        <row r="538">
          <cell r="C538" t="str">
            <v>1172A</v>
          </cell>
          <cell r="K538">
            <v>44671</v>
          </cell>
        </row>
        <row r="539">
          <cell r="C539" t="str">
            <v>1172A</v>
          </cell>
          <cell r="K539">
            <v>44671</v>
          </cell>
        </row>
        <row r="540">
          <cell r="C540" t="str">
            <v>1172A</v>
          </cell>
          <cell r="K540">
            <v>44671</v>
          </cell>
        </row>
        <row r="541">
          <cell r="C541" t="str">
            <v>1172A</v>
          </cell>
          <cell r="K541">
            <v>44671</v>
          </cell>
        </row>
        <row r="542">
          <cell r="C542">
            <v>512</v>
          </cell>
          <cell r="K542">
            <v>44671</v>
          </cell>
        </row>
        <row r="543">
          <cell r="C543" t="str">
            <v>1160E</v>
          </cell>
          <cell r="K543">
            <v>44672</v>
          </cell>
        </row>
        <row r="544">
          <cell r="C544" t="str">
            <v>37540B</v>
          </cell>
          <cell r="K544">
            <v>44672</v>
          </cell>
        </row>
        <row r="545">
          <cell r="C545" t="str">
            <v>1172A</v>
          </cell>
          <cell r="K545">
            <v>44672</v>
          </cell>
        </row>
        <row r="546">
          <cell r="C546">
            <v>512</v>
          </cell>
          <cell r="K546">
            <v>44672</v>
          </cell>
        </row>
        <row r="547">
          <cell r="C547">
            <v>512</v>
          </cell>
          <cell r="K547">
            <v>44672</v>
          </cell>
        </row>
        <row r="548">
          <cell r="C548">
            <v>3192</v>
          </cell>
          <cell r="K548">
            <v>44673</v>
          </cell>
        </row>
        <row r="549">
          <cell r="C549" t="str">
            <v>1110A</v>
          </cell>
          <cell r="K549">
            <v>44673</v>
          </cell>
        </row>
        <row r="550">
          <cell r="C550">
            <v>37522</v>
          </cell>
          <cell r="K550">
            <v>44673</v>
          </cell>
        </row>
        <row r="551">
          <cell r="C551">
            <v>37540</v>
          </cell>
          <cell r="K551">
            <v>44673</v>
          </cell>
        </row>
        <row r="552">
          <cell r="C552" t="str">
            <v>3752A4</v>
          </cell>
          <cell r="K552">
            <v>44673</v>
          </cell>
        </row>
        <row r="553">
          <cell r="C553" t="str">
            <v>3752A1</v>
          </cell>
          <cell r="K553">
            <v>44674</v>
          </cell>
        </row>
        <row r="554">
          <cell r="C554" t="str">
            <v>3752A4</v>
          </cell>
          <cell r="K554">
            <v>44674</v>
          </cell>
        </row>
        <row r="555">
          <cell r="C555" t="str">
            <v>3752A3</v>
          </cell>
          <cell r="K555">
            <v>44674</v>
          </cell>
        </row>
        <row r="556">
          <cell r="C556">
            <v>5091</v>
          </cell>
          <cell r="K556">
            <v>44674</v>
          </cell>
        </row>
        <row r="557">
          <cell r="C557" t="str">
            <v>1128A</v>
          </cell>
          <cell r="K557">
            <v>44674</v>
          </cell>
        </row>
        <row r="558">
          <cell r="C558" t="str">
            <v>3752A1</v>
          </cell>
          <cell r="K558">
            <v>44674</v>
          </cell>
        </row>
        <row r="559">
          <cell r="C559" t="str">
            <v>3752A4</v>
          </cell>
          <cell r="K559">
            <v>44674</v>
          </cell>
        </row>
        <row r="560">
          <cell r="C560" t="str">
            <v>37540B</v>
          </cell>
          <cell r="K560">
            <v>44674</v>
          </cell>
        </row>
        <row r="561">
          <cell r="C561" t="str">
            <v>1172A</v>
          </cell>
          <cell r="K561">
            <v>44675</v>
          </cell>
        </row>
        <row r="562">
          <cell r="C562" t="str">
            <v>3191U</v>
          </cell>
          <cell r="K562">
            <v>44675</v>
          </cell>
        </row>
        <row r="563">
          <cell r="C563" t="str">
            <v>37540B</v>
          </cell>
          <cell r="K563">
            <v>44675</v>
          </cell>
        </row>
        <row r="564">
          <cell r="C564" t="str">
            <v>306B</v>
          </cell>
          <cell r="K564">
            <v>44676</v>
          </cell>
        </row>
        <row r="565">
          <cell r="C565" t="str">
            <v>37540B</v>
          </cell>
          <cell r="K565">
            <v>44676</v>
          </cell>
        </row>
        <row r="566">
          <cell r="C566" t="str">
            <v>1172A</v>
          </cell>
          <cell r="K566">
            <v>44676</v>
          </cell>
        </row>
        <row r="567">
          <cell r="C567" t="str">
            <v>1172A</v>
          </cell>
          <cell r="K567">
            <v>44676</v>
          </cell>
        </row>
        <row r="568">
          <cell r="C568" t="str">
            <v>1180A</v>
          </cell>
          <cell r="K568">
            <v>44676</v>
          </cell>
        </row>
        <row r="569">
          <cell r="C569" t="str">
            <v>3191U</v>
          </cell>
          <cell r="K569">
            <v>44676</v>
          </cell>
        </row>
        <row r="570">
          <cell r="C570" t="str">
            <v>3752A1</v>
          </cell>
          <cell r="K570">
            <v>44676</v>
          </cell>
        </row>
        <row r="571">
          <cell r="C571" t="str">
            <v>37540B</v>
          </cell>
          <cell r="K571">
            <v>44676</v>
          </cell>
        </row>
        <row r="572">
          <cell r="C572">
            <v>3192</v>
          </cell>
          <cell r="K572">
            <v>44676</v>
          </cell>
        </row>
        <row r="573">
          <cell r="C573" t="str">
            <v>1172A</v>
          </cell>
          <cell r="K573">
            <v>44676</v>
          </cell>
        </row>
        <row r="574">
          <cell r="C574">
            <v>5091</v>
          </cell>
          <cell r="K574">
            <v>44676</v>
          </cell>
        </row>
        <row r="575">
          <cell r="C575" t="str">
            <v>1172A</v>
          </cell>
          <cell r="K575">
            <v>44676</v>
          </cell>
        </row>
        <row r="576">
          <cell r="C576" t="str">
            <v>1172A</v>
          </cell>
          <cell r="K576">
            <v>44677</v>
          </cell>
        </row>
        <row r="577">
          <cell r="C577" t="str">
            <v>3752A1</v>
          </cell>
          <cell r="K577">
            <v>44677</v>
          </cell>
        </row>
        <row r="578">
          <cell r="C578" t="str">
            <v>1172A</v>
          </cell>
          <cell r="K578">
            <v>44677</v>
          </cell>
        </row>
        <row r="579">
          <cell r="C579" t="str">
            <v>4011A</v>
          </cell>
          <cell r="K579">
            <v>44677</v>
          </cell>
        </row>
        <row r="580">
          <cell r="C580">
            <v>512</v>
          </cell>
          <cell r="K580">
            <v>44677</v>
          </cell>
        </row>
        <row r="581">
          <cell r="C581" t="str">
            <v>3191U</v>
          </cell>
          <cell r="K581">
            <v>44677</v>
          </cell>
        </row>
        <row r="582">
          <cell r="C582" t="str">
            <v>1160E</v>
          </cell>
          <cell r="K582">
            <v>44678</v>
          </cell>
        </row>
        <row r="583">
          <cell r="C583">
            <v>5091</v>
          </cell>
          <cell r="K583">
            <v>44678</v>
          </cell>
        </row>
        <row r="584">
          <cell r="C584">
            <v>5098</v>
          </cell>
          <cell r="K584">
            <v>44678</v>
          </cell>
        </row>
        <row r="585">
          <cell r="C585" t="str">
            <v>3191U</v>
          </cell>
          <cell r="K585">
            <v>44678</v>
          </cell>
        </row>
        <row r="586">
          <cell r="C586" t="str">
            <v>3191U</v>
          </cell>
          <cell r="K586">
            <v>44678</v>
          </cell>
        </row>
        <row r="587">
          <cell r="C587">
            <v>5091</v>
          </cell>
          <cell r="K587">
            <v>44678</v>
          </cell>
        </row>
        <row r="588">
          <cell r="C588" t="str">
            <v>1172A</v>
          </cell>
          <cell r="K588">
            <v>44678</v>
          </cell>
        </row>
        <row r="589">
          <cell r="C589" t="str">
            <v>1180A</v>
          </cell>
          <cell r="K589">
            <v>44678</v>
          </cell>
        </row>
        <row r="590">
          <cell r="C590">
            <v>512</v>
          </cell>
          <cell r="K590">
            <v>44678</v>
          </cell>
        </row>
        <row r="591">
          <cell r="C591" t="str">
            <v>1172A</v>
          </cell>
          <cell r="K591">
            <v>44679</v>
          </cell>
        </row>
        <row r="592">
          <cell r="C592" t="str">
            <v>3191U</v>
          </cell>
          <cell r="K592">
            <v>44679</v>
          </cell>
        </row>
        <row r="593">
          <cell r="C593" t="str">
            <v>1172A</v>
          </cell>
          <cell r="K593">
            <v>44679</v>
          </cell>
        </row>
        <row r="594">
          <cell r="C594" t="str">
            <v>3752A1</v>
          </cell>
          <cell r="K594">
            <v>44679</v>
          </cell>
        </row>
        <row r="595">
          <cell r="C595" t="str">
            <v>4011A</v>
          </cell>
          <cell r="K595">
            <v>44679</v>
          </cell>
        </row>
        <row r="596">
          <cell r="C596" t="str">
            <v>1172A</v>
          </cell>
          <cell r="K596">
            <v>44680</v>
          </cell>
        </row>
        <row r="597">
          <cell r="C597" t="str">
            <v>1172A</v>
          </cell>
          <cell r="K597">
            <v>44680</v>
          </cell>
        </row>
        <row r="598">
          <cell r="C598" t="str">
            <v>1160E</v>
          </cell>
          <cell r="K598">
            <v>44681</v>
          </cell>
        </row>
        <row r="599">
          <cell r="C599" t="str">
            <v>37540B</v>
          </cell>
          <cell r="K599">
            <v>44681</v>
          </cell>
        </row>
        <row r="600">
          <cell r="C600" t="str">
            <v>3191U</v>
          </cell>
          <cell r="K600">
            <v>44682</v>
          </cell>
        </row>
        <row r="601">
          <cell r="C601" t="str">
            <v>37540B</v>
          </cell>
          <cell r="K601">
            <v>44682</v>
          </cell>
        </row>
        <row r="602">
          <cell r="C602" t="str">
            <v>4011A</v>
          </cell>
          <cell r="K602">
            <v>44682</v>
          </cell>
        </row>
        <row r="603">
          <cell r="C603" t="str">
            <v>1172A</v>
          </cell>
          <cell r="K603">
            <v>44683</v>
          </cell>
        </row>
        <row r="604">
          <cell r="C604" t="str">
            <v>1172A</v>
          </cell>
          <cell r="K604">
            <v>44683</v>
          </cell>
        </row>
        <row r="605">
          <cell r="C605" t="str">
            <v>1172A</v>
          </cell>
          <cell r="K605">
            <v>44683</v>
          </cell>
        </row>
        <row r="606">
          <cell r="C606" t="str">
            <v>1172A</v>
          </cell>
          <cell r="K606">
            <v>44683</v>
          </cell>
        </row>
        <row r="607">
          <cell r="C607" t="str">
            <v>3191U</v>
          </cell>
          <cell r="K607">
            <v>44683</v>
          </cell>
        </row>
        <row r="608">
          <cell r="C608">
            <v>512</v>
          </cell>
          <cell r="K608">
            <v>44683</v>
          </cell>
        </row>
        <row r="609">
          <cell r="C609">
            <v>37540</v>
          </cell>
          <cell r="K609">
            <v>44684</v>
          </cell>
        </row>
        <row r="610">
          <cell r="C610" t="str">
            <v>3752A</v>
          </cell>
          <cell r="K610">
            <v>44684</v>
          </cell>
        </row>
        <row r="611">
          <cell r="C611" t="str">
            <v>1180A</v>
          </cell>
          <cell r="K611">
            <v>44684</v>
          </cell>
        </row>
        <row r="612">
          <cell r="C612" t="str">
            <v>1180A</v>
          </cell>
          <cell r="K612">
            <v>44684</v>
          </cell>
        </row>
        <row r="613">
          <cell r="C613" t="str">
            <v>3191P</v>
          </cell>
          <cell r="K613">
            <v>44684</v>
          </cell>
        </row>
        <row r="614">
          <cell r="C614" t="str">
            <v>3752A1</v>
          </cell>
          <cell r="K614">
            <v>44684</v>
          </cell>
        </row>
        <row r="615">
          <cell r="C615" t="str">
            <v>3752A1</v>
          </cell>
          <cell r="K615">
            <v>44684</v>
          </cell>
        </row>
        <row r="616">
          <cell r="C616" t="str">
            <v>3752A1</v>
          </cell>
          <cell r="K616">
            <v>44684</v>
          </cell>
        </row>
        <row r="617">
          <cell r="C617" t="str">
            <v>37540B</v>
          </cell>
          <cell r="K617">
            <v>44684</v>
          </cell>
        </row>
        <row r="618">
          <cell r="C618" t="str">
            <v>37540B</v>
          </cell>
          <cell r="K618">
            <v>44684</v>
          </cell>
        </row>
        <row r="619">
          <cell r="C619" t="str">
            <v>1172A</v>
          </cell>
          <cell r="K619">
            <v>44684</v>
          </cell>
        </row>
        <row r="620">
          <cell r="C620" t="str">
            <v>3752A1</v>
          </cell>
          <cell r="K620">
            <v>44685</v>
          </cell>
        </row>
        <row r="621">
          <cell r="C621">
            <v>37540</v>
          </cell>
          <cell r="K621">
            <v>44685</v>
          </cell>
        </row>
        <row r="622">
          <cell r="C622" t="str">
            <v>1129A</v>
          </cell>
          <cell r="K622">
            <v>44685</v>
          </cell>
        </row>
        <row r="623">
          <cell r="C623">
            <v>5091</v>
          </cell>
          <cell r="K623">
            <v>44686</v>
          </cell>
        </row>
        <row r="624">
          <cell r="C624">
            <v>512</v>
          </cell>
          <cell r="K624">
            <v>44686</v>
          </cell>
        </row>
        <row r="625">
          <cell r="C625" t="str">
            <v>3191U</v>
          </cell>
          <cell r="K625">
            <v>44686</v>
          </cell>
        </row>
        <row r="626">
          <cell r="C626" t="str">
            <v>3752A3</v>
          </cell>
          <cell r="K626">
            <v>44686</v>
          </cell>
        </row>
        <row r="627">
          <cell r="C627" t="str">
            <v>3752A4</v>
          </cell>
          <cell r="K627">
            <v>44686</v>
          </cell>
        </row>
        <row r="628">
          <cell r="C628" t="str">
            <v>1172A</v>
          </cell>
          <cell r="K628">
            <v>44689</v>
          </cell>
        </row>
        <row r="629">
          <cell r="C629" t="str">
            <v>1172A</v>
          </cell>
          <cell r="K629">
            <v>44689</v>
          </cell>
        </row>
        <row r="630">
          <cell r="C630" t="str">
            <v>1172A</v>
          </cell>
          <cell r="K630">
            <v>44689</v>
          </cell>
        </row>
        <row r="631">
          <cell r="C631" t="str">
            <v>1172A</v>
          </cell>
          <cell r="K631">
            <v>44689</v>
          </cell>
        </row>
        <row r="632">
          <cell r="C632" t="str">
            <v>1180A</v>
          </cell>
          <cell r="K632">
            <v>44689</v>
          </cell>
        </row>
        <row r="633">
          <cell r="C633">
            <v>37531</v>
          </cell>
          <cell r="K633">
            <v>44690</v>
          </cell>
        </row>
        <row r="634">
          <cell r="C634" t="str">
            <v>1172A</v>
          </cell>
          <cell r="K634">
            <v>44690</v>
          </cell>
        </row>
        <row r="635">
          <cell r="C635" t="str">
            <v>1172A</v>
          </cell>
          <cell r="K635">
            <v>44690</v>
          </cell>
        </row>
        <row r="636">
          <cell r="C636" t="str">
            <v>306B</v>
          </cell>
          <cell r="K636">
            <v>44690</v>
          </cell>
        </row>
        <row r="637">
          <cell r="C637" t="str">
            <v>37512AB2</v>
          </cell>
          <cell r="K637">
            <v>44691</v>
          </cell>
        </row>
        <row r="638">
          <cell r="C638">
            <v>37531</v>
          </cell>
          <cell r="K638">
            <v>44691</v>
          </cell>
        </row>
        <row r="639">
          <cell r="C639" t="str">
            <v>1172A</v>
          </cell>
          <cell r="K639">
            <v>44691</v>
          </cell>
        </row>
        <row r="640">
          <cell r="C640" t="str">
            <v>4011A</v>
          </cell>
          <cell r="K640">
            <v>44691</v>
          </cell>
        </row>
        <row r="641">
          <cell r="C641">
            <v>1175</v>
          </cell>
          <cell r="K641">
            <v>44691</v>
          </cell>
        </row>
        <row r="642">
          <cell r="C642" t="str">
            <v>1172A</v>
          </cell>
          <cell r="K642">
            <v>44691</v>
          </cell>
        </row>
        <row r="643">
          <cell r="C643" t="str">
            <v>3191P</v>
          </cell>
          <cell r="K643">
            <v>44691</v>
          </cell>
        </row>
        <row r="644">
          <cell r="C644" t="str">
            <v>1111D1</v>
          </cell>
          <cell r="K644">
            <v>44691</v>
          </cell>
        </row>
        <row r="645">
          <cell r="C645" t="str">
            <v>1172A</v>
          </cell>
          <cell r="K645">
            <v>44691</v>
          </cell>
        </row>
        <row r="646">
          <cell r="C646" t="str">
            <v>306B</v>
          </cell>
          <cell r="K646">
            <v>44691</v>
          </cell>
        </row>
        <row r="647">
          <cell r="C647" t="str">
            <v>4011A</v>
          </cell>
          <cell r="K647">
            <v>44691</v>
          </cell>
        </row>
        <row r="648">
          <cell r="C648" t="str">
            <v>1172A</v>
          </cell>
          <cell r="K648">
            <v>44691</v>
          </cell>
        </row>
        <row r="649">
          <cell r="C649" t="str">
            <v>1172A</v>
          </cell>
          <cell r="K649">
            <v>44691</v>
          </cell>
        </row>
        <row r="650">
          <cell r="C650" t="str">
            <v>1172A</v>
          </cell>
          <cell r="K650">
            <v>44691</v>
          </cell>
        </row>
        <row r="651">
          <cell r="C651" t="str">
            <v>306B</v>
          </cell>
          <cell r="K651">
            <v>44691</v>
          </cell>
        </row>
        <row r="652">
          <cell r="C652">
            <v>3761</v>
          </cell>
          <cell r="K652">
            <v>44692</v>
          </cell>
        </row>
        <row r="653">
          <cell r="C653">
            <v>3761</v>
          </cell>
          <cell r="K653">
            <v>44692</v>
          </cell>
        </row>
        <row r="654">
          <cell r="C654">
            <v>5091</v>
          </cell>
          <cell r="K654">
            <v>44692</v>
          </cell>
        </row>
        <row r="655">
          <cell r="C655" t="str">
            <v>1110A</v>
          </cell>
          <cell r="K655">
            <v>44692</v>
          </cell>
        </row>
        <row r="656">
          <cell r="C656" t="str">
            <v>2264-1</v>
          </cell>
          <cell r="K656">
            <v>44692</v>
          </cell>
        </row>
        <row r="657">
          <cell r="C657" t="str">
            <v>3752A3</v>
          </cell>
          <cell r="K657">
            <v>44692</v>
          </cell>
        </row>
        <row r="658">
          <cell r="C658" t="str">
            <v>380A1</v>
          </cell>
          <cell r="K658">
            <v>44692</v>
          </cell>
        </row>
        <row r="659">
          <cell r="C659" t="str">
            <v>380A1</v>
          </cell>
          <cell r="K659">
            <v>44692</v>
          </cell>
        </row>
        <row r="660">
          <cell r="C660" t="str">
            <v>380A1</v>
          </cell>
          <cell r="K660">
            <v>44692</v>
          </cell>
        </row>
        <row r="661">
          <cell r="C661" t="str">
            <v>401-4</v>
          </cell>
          <cell r="K661">
            <v>44692</v>
          </cell>
        </row>
        <row r="662">
          <cell r="C662">
            <v>3192</v>
          </cell>
          <cell r="K662">
            <v>44693</v>
          </cell>
        </row>
        <row r="663">
          <cell r="C663" t="str">
            <v>3191U</v>
          </cell>
          <cell r="K663">
            <v>44693</v>
          </cell>
        </row>
        <row r="664">
          <cell r="C664">
            <v>512</v>
          </cell>
          <cell r="K664">
            <v>44693</v>
          </cell>
        </row>
        <row r="665">
          <cell r="C665" t="str">
            <v>37512AB2</v>
          </cell>
          <cell r="K665">
            <v>44693</v>
          </cell>
        </row>
        <row r="666">
          <cell r="C666">
            <v>3192</v>
          </cell>
          <cell r="K666">
            <v>44694</v>
          </cell>
        </row>
        <row r="667">
          <cell r="C667" t="str">
            <v>1172A</v>
          </cell>
          <cell r="K667">
            <v>44694</v>
          </cell>
        </row>
        <row r="668">
          <cell r="C668" t="str">
            <v>1172A</v>
          </cell>
          <cell r="K668">
            <v>44694</v>
          </cell>
        </row>
        <row r="669">
          <cell r="C669" t="str">
            <v>1172A</v>
          </cell>
          <cell r="K669">
            <v>44694</v>
          </cell>
        </row>
        <row r="670">
          <cell r="C670" t="str">
            <v>1172A</v>
          </cell>
          <cell r="K670">
            <v>44694</v>
          </cell>
        </row>
        <row r="671">
          <cell r="C671" t="str">
            <v>37540B</v>
          </cell>
          <cell r="K671">
            <v>44694</v>
          </cell>
        </row>
        <row r="672">
          <cell r="C672" t="str">
            <v>3191U</v>
          </cell>
          <cell r="K672">
            <v>44696</v>
          </cell>
        </row>
        <row r="673">
          <cell r="C673" t="str">
            <v>37540B</v>
          </cell>
          <cell r="K673">
            <v>44696</v>
          </cell>
        </row>
        <row r="674">
          <cell r="C674" t="str">
            <v>1172A</v>
          </cell>
          <cell r="K674">
            <v>44696</v>
          </cell>
        </row>
        <row r="675">
          <cell r="C675" t="str">
            <v>37512AB2</v>
          </cell>
          <cell r="K675">
            <v>44697</v>
          </cell>
        </row>
        <row r="676">
          <cell r="C676" t="str">
            <v>3752A1</v>
          </cell>
          <cell r="K676">
            <v>44698</v>
          </cell>
        </row>
        <row r="677">
          <cell r="C677" t="str">
            <v>1172A</v>
          </cell>
          <cell r="K677">
            <v>44698</v>
          </cell>
        </row>
        <row r="678">
          <cell r="C678" t="str">
            <v>1172A</v>
          </cell>
          <cell r="K678">
            <v>44698</v>
          </cell>
        </row>
        <row r="679">
          <cell r="C679" t="str">
            <v>1180A</v>
          </cell>
          <cell r="K679">
            <v>44698</v>
          </cell>
        </row>
        <row r="680">
          <cell r="C680" t="str">
            <v>1110A</v>
          </cell>
          <cell r="K680">
            <v>44698</v>
          </cell>
        </row>
        <row r="681">
          <cell r="C681" t="str">
            <v>3752A4</v>
          </cell>
          <cell r="K681">
            <v>44698</v>
          </cell>
        </row>
        <row r="682">
          <cell r="C682" t="str">
            <v>1172A</v>
          </cell>
          <cell r="K682">
            <v>44699</v>
          </cell>
        </row>
        <row r="683">
          <cell r="C683" t="str">
            <v>1172A</v>
          </cell>
          <cell r="K683">
            <v>44699</v>
          </cell>
        </row>
        <row r="684">
          <cell r="C684">
            <v>512</v>
          </cell>
          <cell r="K684">
            <v>44699</v>
          </cell>
        </row>
        <row r="685">
          <cell r="C685" t="str">
            <v>3191U</v>
          </cell>
          <cell r="K685">
            <v>44699</v>
          </cell>
        </row>
        <row r="686">
          <cell r="C686" t="str">
            <v>1172A</v>
          </cell>
          <cell r="K686">
            <v>44700</v>
          </cell>
        </row>
        <row r="687">
          <cell r="C687" t="str">
            <v>1172A</v>
          </cell>
          <cell r="K687">
            <v>44700</v>
          </cell>
        </row>
        <row r="688">
          <cell r="C688" t="str">
            <v>1172A</v>
          </cell>
          <cell r="K688">
            <v>44701</v>
          </cell>
        </row>
        <row r="689">
          <cell r="C689" t="str">
            <v>1172A</v>
          </cell>
          <cell r="K689">
            <v>44701</v>
          </cell>
        </row>
        <row r="690">
          <cell r="C690" t="str">
            <v>3191U</v>
          </cell>
          <cell r="K690">
            <v>44701</v>
          </cell>
        </row>
        <row r="691">
          <cell r="C691" t="str">
            <v>1172A</v>
          </cell>
          <cell r="K691">
            <v>44701</v>
          </cell>
        </row>
        <row r="692">
          <cell r="C692" t="str">
            <v>1172A</v>
          </cell>
          <cell r="K692">
            <v>44702</v>
          </cell>
        </row>
        <row r="693">
          <cell r="C693" t="str">
            <v>1172A</v>
          </cell>
          <cell r="K693">
            <v>44702</v>
          </cell>
        </row>
        <row r="694">
          <cell r="C694" t="str">
            <v>1172A</v>
          </cell>
          <cell r="K694">
            <v>44702</v>
          </cell>
        </row>
        <row r="695">
          <cell r="C695" t="str">
            <v>1172A</v>
          </cell>
          <cell r="K695">
            <v>44703</v>
          </cell>
        </row>
        <row r="696">
          <cell r="C696" t="str">
            <v>1180A</v>
          </cell>
          <cell r="K696">
            <v>44703</v>
          </cell>
        </row>
        <row r="697">
          <cell r="C697" t="str">
            <v>3191U</v>
          </cell>
          <cell r="K697">
            <v>44703</v>
          </cell>
        </row>
        <row r="698">
          <cell r="C698" t="str">
            <v>1172A</v>
          </cell>
          <cell r="K698">
            <v>44703</v>
          </cell>
        </row>
        <row r="699">
          <cell r="C699">
            <v>37531</v>
          </cell>
          <cell r="K699">
            <v>44704</v>
          </cell>
        </row>
        <row r="700">
          <cell r="C700" t="str">
            <v>306B</v>
          </cell>
          <cell r="K700">
            <v>44704</v>
          </cell>
        </row>
        <row r="701">
          <cell r="C701" t="str">
            <v>4011A</v>
          </cell>
          <cell r="K701">
            <v>44704</v>
          </cell>
        </row>
        <row r="702">
          <cell r="C702" t="str">
            <v>5111A</v>
          </cell>
          <cell r="K702">
            <v>44704</v>
          </cell>
        </row>
        <row r="703">
          <cell r="C703" t="str">
            <v>3752A4</v>
          </cell>
          <cell r="K703">
            <v>44704</v>
          </cell>
        </row>
        <row r="704">
          <cell r="C704" t="str">
            <v>37540B</v>
          </cell>
          <cell r="K704">
            <v>44704</v>
          </cell>
        </row>
        <row r="705">
          <cell r="C705" t="str">
            <v>5111A</v>
          </cell>
          <cell r="K705">
            <v>44704</v>
          </cell>
        </row>
        <row r="706">
          <cell r="C706" t="str">
            <v>1172A</v>
          </cell>
          <cell r="K706">
            <v>44705</v>
          </cell>
        </row>
        <row r="707">
          <cell r="C707" t="str">
            <v>1180A</v>
          </cell>
          <cell r="K707">
            <v>44705</v>
          </cell>
        </row>
        <row r="708">
          <cell r="C708" t="str">
            <v>1172A</v>
          </cell>
          <cell r="K708">
            <v>44705</v>
          </cell>
        </row>
        <row r="709">
          <cell r="C709" t="str">
            <v>1126A</v>
          </cell>
          <cell r="K709">
            <v>44705</v>
          </cell>
        </row>
        <row r="710">
          <cell r="C710" t="str">
            <v>1128A</v>
          </cell>
          <cell r="K710">
            <v>44705</v>
          </cell>
        </row>
        <row r="711">
          <cell r="C711" t="str">
            <v>1172A</v>
          </cell>
          <cell r="K711">
            <v>44705</v>
          </cell>
        </row>
        <row r="712">
          <cell r="C712" t="str">
            <v>1172A</v>
          </cell>
          <cell r="K712">
            <v>44705</v>
          </cell>
        </row>
        <row r="713">
          <cell r="C713">
            <v>3751</v>
          </cell>
          <cell r="K713">
            <v>44705</v>
          </cell>
        </row>
        <row r="714">
          <cell r="C714">
            <v>3759</v>
          </cell>
          <cell r="K714">
            <v>44705</v>
          </cell>
        </row>
        <row r="715">
          <cell r="C715">
            <v>4021</v>
          </cell>
          <cell r="K715">
            <v>44705</v>
          </cell>
        </row>
        <row r="716">
          <cell r="C716">
            <v>37522</v>
          </cell>
          <cell r="K716">
            <v>44705</v>
          </cell>
        </row>
        <row r="717">
          <cell r="C717" t="str">
            <v>1402CII</v>
          </cell>
          <cell r="K717">
            <v>44705</v>
          </cell>
        </row>
        <row r="718">
          <cell r="C718" t="str">
            <v>1402CII</v>
          </cell>
          <cell r="K718">
            <v>44705</v>
          </cell>
        </row>
        <row r="719">
          <cell r="C719" t="str">
            <v>1402CII</v>
          </cell>
          <cell r="K719">
            <v>44705</v>
          </cell>
        </row>
        <row r="720">
          <cell r="C720" t="str">
            <v>1402CII</v>
          </cell>
          <cell r="K720">
            <v>44705</v>
          </cell>
        </row>
        <row r="721">
          <cell r="C721" t="str">
            <v>1402CII</v>
          </cell>
          <cell r="K721">
            <v>44705</v>
          </cell>
        </row>
        <row r="722">
          <cell r="C722" t="str">
            <v>37510E</v>
          </cell>
          <cell r="K722">
            <v>44705</v>
          </cell>
        </row>
        <row r="723">
          <cell r="C723" t="str">
            <v>3752A1</v>
          </cell>
          <cell r="K723">
            <v>44705</v>
          </cell>
        </row>
        <row r="724">
          <cell r="C724" t="str">
            <v>3752A3</v>
          </cell>
          <cell r="K724">
            <v>44705</v>
          </cell>
        </row>
        <row r="725">
          <cell r="C725" t="str">
            <v>3752A4</v>
          </cell>
          <cell r="K725">
            <v>44705</v>
          </cell>
        </row>
        <row r="726">
          <cell r="C726" t="str">
            <v>3752A4</v>
          </cell>
          <cell r="K726">
            <v>44705</v>
          </cell>
        </row>
        <row r="727">
          <cell r="C727" t="str">
            <v>3761A</v>
          </cell>
          <cell r="K727">
            <v>44705</v>
          </cell>
        </row>
        <row r="728">
          <cell r="C728" t="str">
            <v>3761A</v>
          </cell>
          <cell r="K728">
            <v>44705</v>
          </cell>
        </row>
        <row r="729">
          <cell r="C729" t="str">
            <v>3761A</v>
          </cell>
          <cell r="K729">
            <v>44705</v>
          </cell>
        </row>
        <row r="730">
          <cell r="C730" t="str">
            <v>4017FB</v>
          </cell>
          <cell r="K730">
            <v>44705</v>
          </cell>
        </row>
        <row r="731">
          <cell r="C731">
            <v>4024</v>
          </cell>
          <cell r="K731">
            <v>44706</v>
          </cell>
        </row>
        <row r="732">
          <cell r="C732">
            <v>5091</v>
          </cell>
          <cell r="K732">
            <v>44706</v>
          </cell>
        </row>
        <row r="733">
          <cell r="C733" t="str">
            <v>3191U</v>
          </cell>
          <cell r="K733">
            <v>44706</v>
          </cell>
        </row>
        <row r="734">
          <cell r="C734" t="str">
            <v>3752A1</v>
          </cell>
          <cell r="K734">
            <v>44706</v>
          </cell>
        </row>
        <row r="735">
          <cell r="C735" t="str">
            <v>4011A</v>
          </cell>
          <cell r="K735">
            <v>44706</v>
          </cell>
        </row>
        <row r="736">
          <cell r="C736" t="str">
            <v>37540A</v>
          </cell>
          <cell r="K736">
            <v>44706</v>
          </cell>
        </row>
        <row r="737">
          <cell r="C737" t="str">
            <v>1151C</v>
          </cell>
          <cell r="K737">
            <v>44706</v>
          </cell>
        </row>
        <row r="738">
          <cell r="C738" t="str">
            <v>1172A</v>
          </cell>
          <cell r="K738">
            <v>44706</v>
          </cell>
        </row>
        <row r="739">
          <cell r="C739" t="str">
            <v>1172A</v>
          </cell>
          <cell r="K739">
            <v>44707</v>
          </cell>
        </row>
        <row r="740">
          <cell r="C740" t="str">
            <v>3191U</v>
          </cell>
          <cell r="K740">
            <v>44707</v>
          </cell>
        </row>
        <row r="741">
          <cell r="C741" t="str">
            <v>37540A</v>
          </cell>
          <cell r="K741">
            <v>44707</v>
          </cell>
        </row>
        <row r="742">
          <cell r="C742" t="str">
            <v>3752A1</v>
          </cell>
          <cell r="K742">
            <v>44707</v>
          </cell>
        </row>
        <row r="743">
          <cell r="C743" t="str">
            <v>1172A</v>
          </cell>
          <cell r="K743">
            <v>44707</v>
          </cell>
        </row>
        <row r="744">
          <cell r="C744" t="str">
            <v>1172A</v>
          </cell>
          <cell r="K744">
            <v>44707</v>
          </cell>
        </row>
        <row r="745">
          <cell r="C745" t="str">
            <v>1172A</v>
          </cell>
          <cell r="K745">
            <v>44707</v>
          </cell>
        </row>
        <row r="746">
          <cell r="C746" t="str">
            <v>1172A</v>
          </cell>
          <cell r="K746">
            <v>44707</v>
          </cell>
        </row>
        <row r="747">
          <cell r="C747">
            <v>512</v>
          </cell>
          <cell r="K747">
            <v>44707</v>
          </cell>
        </row>
        <row r="748">
          <cell r="C748">
            <v>3192</v>
          </cell>
          <cell r="K748">
            <v>44707</v>
          </cell>
        </row>
        <row r="749">
          <cell r="C749">
            <v>3751</v>
          </cell>
          <cell r="K749">
            <v>44707</v>
          </cell>
        </row>
        <row r="750">
          <cell r="C750">
            <v>3751</v>
          </cell>
          <cell r="K750">
            <v>44707</v>
          </cell>
        </row>
        <row r="751">
          <cell r="C751">
            <v>3751</v>
          </cell>
          <cell r="K751">
            <v>44707</v>
          </cell>
        </row>
        <row r="752">
          <cell r="C752">
            <v>3751</v>
          </cell>
          <cell r="K752">
            <v>44707</v>
          </cell>
        </row>
        <row r="753">
          <cell r="C753">
            <v>3759</v>
          </cell>
          <cell r="K753">
            <v>44707</v>
          </cell>
        </row>
        <row r="754">
          <cell r="C754">
            <v>5092</v>
          </cell>
          <cell r="K754">
            <v>44707</v>
          </cell>
        </row>
        <row r="755">
          <cell r="C755">
            <v>5107</v>
          </cell>
          <cell r="K755">
            <v>44707</v>
          </cell>
        </row>
        <row r="756">
          <cell r="C756">
            <v>37517</v>
          </cell>
          <cell r="K756">
            <v>44707</v>
          </cell>
        </row>
        <row r="757">
          <cell r="C757">
            <v>37518</v>
          </cell>
          <cell r="K757">
            <v>44707</v>
          </cell>
        </row>
        <row r="758">
          <cell r="C758">
            <v>37534</v>
          </cell>
          <cell r="K758">
            <v>44707</v>
          </cell>
        </row>
        <row r="759">
          <cell r="C759" t="str">
            <v>1402CII</v>
          </cell>
          <cell r="K759">
            <v>44707</v>
          </cell>
        </row>
        <row r="760">
          <cell r="C760" t="str">
            <v>1402CII</v>
          </cell>
          <cell r="K760">
            <v>44707</v>
          </cell>
        </row>
        <row r="761">
          <cell r="C761" t="str">
            <v>1402CII</v>
          </cell>
          <cell r="K761">
            <v>44707</v>
          </cell>
        </row>
        <row r="762">
          <cell r="C762" t="str">
            <v>1402CII</v>
          </cell>
          <cell r="K762">
            <v>44707</v>
          </cell>
        </row>
        <row r="763">
          <cell r="C763" t="str">
            <v>1402CII</v>
          </cell>
          <cell r="K763">
            <v>44707</v>
          </cell>
        </row>
        <row r="764">
          <cell r="C764" t="str">
            <v>1402CII</v>
          </cell>
          <cell r="K764">
            <v>44707</v>
          </cell>
        </row>
        <row r="765">
          <cell r="C765" t="str">
            <v>1402CII</v>
          </cell>
          <cell r="K765">
            <v>44707</v>
          </cell>
        </row>
        <row r="766">
          <cell r="C766" t="str">
            <v>1402CII</v>
          </cell>
          <cell r="K766">
            <v>44707</v>
          </cell>
        </row>
        <row r="767">
          <cell r="C767" t="str">
            <v>1402CII</v>
          </cell>
          <cell r="K767">
            <v>44707</v>
          </cell>
        </row>
        <row r="768">
          <cell r="C768" t="str">
            <v>1402CII</v>
          </cell>
          <cell r="K768">
            <v>44707</v>
          </cell>
        </row>
        <row r="769">
          <cell r="C769" t="str">
            <v>1402CII</v>
          </cell>
          <cell r="K769">
            <v>44707</v>
          </cell>
        </row>
        <row r="770">
          <cell r="C770" t="str">
            <v>306B</v>
          </cell>
          <cell r="K770">
            <v>44707</v>
          </cell>
        </row>
        <row r="771">
          <cell r="C771" t="str">
            <v>306B</v>
          </cell>
          <cell r="K771">
            <v>44707</v>
          </cell>
        </row>
        <row r="772">
          <cell r="C772" t="str">
            <v>306B</v>
          </cell>
          <cell r="K772">
            <v>44707</v>
          </cell>
        </row>
        <row r="773">
          <cell r="C773" t="str">
            <v>3191U</v>
          </cell>
          <cell r="K773">
            <v>44707</v>
          </cell>
        </row>
        <row r="774">
          <cell r="C774" t="str">
            <v>3191U</v>
          </cell>
          <cell r="K774">
            <v>44707</v>
          </cell>
        </row>
        <row r="775">
          <cell r="C775" t="str">
            <v>3752A4</v>
          </cell>
          <cell r="K775">
            <v>44707</v>
          </cell>
        </row>
        <row r="776">
          <cell r="C776" t="str">
            <v>37540B</v>
          </cell>
          <cell r="K776">
            <v>44707</v>
          </cell>
        </row>
        <row r="777">
          <cell r="C777" t="str">
            <v>3761A</v>
          </cell>
          <cell r="K777">
            <v>44707</v>
          </cell>
        </row>
        <row r="778">
          <cell r="C778" t="str">
            <v>3761A</v>
          </cell>
          <cell r="K778">
            <v>44707</v>
          </cell>
        </row>
        <row r="779">
          <cell r="C779" t="str">
            <v>380A</v>
          </cell>
          <cell r="K779">
            <v>44707</v>
          </cell>
        </row>
        <row r="780">
          <cell r="C780" t="str">
            <v>380A</v>
          </cell>
          <cell r="K780">
            <v>44707</v>
          </cell>
        </row>
        <row r="781">
          <cell r="C781" t="str">
            <v>380A1</v>
          </cell>
          <cell r="K781">
            <v>44707</v>
          </cell>
        </row>
        <row r="782">
          <cell r="C782" t="str">
            <v>380A1</v>
          </cell>
          <cell r="K782">
            <v>44707</v>
          </cell>
        </row>
        <row r="783">
          <cell r="C783" t="str">
            <v>4017FB</v>
          </cell>
          <cell r="K783">
            <v>44707</v>
          </cell>
        </row>
        <row r="784">
          <cell r="C784" t="str">
            <v>1160E</v>
          </cell>
          <cell r="K784">
            <v>44708</v>
          </cell>
        </row>
        <row r="785">
          <cell r="C785">
            <v>4024</v>
          </cell>
          <cell r="K785">
            <v>44708</v>
          </cell>
        </row>
        <row r="786">
          <cell r="C786">
            <v>4025</v>
          </cell>
          <cell r="K786">
            <v>44708</v>
          </cell>
        </row>
        <row r="787">
          <cell r="C787" t="str">
            <v>3191U</v>
          </cell>
          <cell r="K787">
            <v>44708</v>
          </cell>
        </row>
        <row r="788">
          <cell r="C788" t="str">
            <v>1164B</v>
          </cell>
          <cell r="K788">
            <v>44708</v>
          </cell>
        </row>
        <row r="789">
          <cell r="C789" t="str">
            <v>37540B</v>
          </cell>
          <cell r="K789">
            <v>44708</v>
          </cell>
        </row>
        <row r="790">
          <cell r="C790" t="str">
            <v>1225C2A</v>
          </cell>
          <cell r="K790">
            <v>44711</v>
          </cell>
        </row>
        <row r="791">
          <cell r="C791" t="str">
            <v>1225C2A</v>
          </cell>
          <cell r="K791">
            <v>44711</v>
          </cell>
        </row>
        <row r="792">
          <cell r="C792">
            <v>24132</v>
          </cell>
          <cell r="K792">
            <v>44712</v>
          </cell>
        </row>
        <row r="793">
          <cell r="C793" t="str">
            <v>3191U</v>
          </cell>
          <cell r="K793">
            <v>44712</v>
          </cell>
        </row>
        <row r="794">
          <cell r="C794" t="str">
            <v>1172A</v>
          </cell>
          <cell r="K794">
            <v>44712</v>
          </cell>
        </row>
        <row r="795">
          <cell r="C795" t="str">
            <v>1172A</v>
          </cell>
          <cell r="K795">
            <v>44712</v>
          </cell>
        </row>
        <row r="796">
          <cell r="C796">
            <v>3192</v>
          </cell>
          <cell r="K796">
            <v>44712</v>
          </cell>
        </row>
        <row r="797">
          <cell r="C797" t="str">
            <v>1172A</v>
          </cell>
          <cell r="K797">
            <v>44712</v>
          </cell>
        </row>
        <row r="798">
          <cell r="C798" t="str">
            <v>37540B</v>
          </cell>
          <cell r="K798">
            <v>44713</v>
          </cell>
        </row>
        <row r="799">
          <cell r="C799" t="str">
            <v>1172A</v>
          </cell>
          <cell r="K799">
            <v>44714</v>
          </cell>
        </row>
        <row r="800">
          <cell r="C800" t="str">
            <v>1172A</v>
          </cell>
          <cell r="K800">
            <v>44714</v>
          </cell>
        </row>
        <row r="801">
          <cell r="C801" t="str">
            <v>37540B</v>
          </cell>
          <cell r="K801">
            <v>44714</v>
          </cell>
        </row>
        <row r="802">
          <cell r="C802" t="str">
            <v>1172A</v>
          </cell>
          <cell r="K802">
            <v>44715</v>
          </cell>
        </row>
        <row r="803">
          <cell r="C803" t="str">
            <v>3191U</v>
          </cell>
          <cell r="K803">
            <v>44715</v>
          </cell>
        </row>
        <row r="804">
          <cell r="C804" t="str">
            <v>1172A</v>
          </cell>
          <cell r="K804">
            <v>44715</v>
          </cell>
        </row>
        <row r="805">
          <cell r="C805" t="str">
            <v>1172A</v>
          </cell>
          <cell r="K805">
            <v>44715</v>
          </cell>
        </row>
        <row r="806">
          <cell r="C806">
            <v>512</v>
          </cell>
          <cell r="K806">
            <v>44716</v>
          </cell>
        </row>
        <row r="807">
          <cell r="C807" t="str">
            <v>501B1A</v>
          </cell>
          <cell r="K807">
            <v>44716</v>
          </cell>
        </row>
        <row r="808">
          <cell r="C808" t="str">
            <v>1172A</v>
          </cell>
          <cell r="K808">
            <v>44716</v>
          </cell>
        </row>
        <row r="809">
          <cell r="C809" t="str">
            <v>4011A</v>
          </cell>
          <cell r="K809">
            <v>44716</v>
          </cell>
        </row>
        <row r="810">
          <cell r="C810">
            <v>1123</v>
          </cell>
          <cell r="K810">
            <v>44716</v>
          </cell>
        </row>
        <row r="811">
          <cell r="C811" t="str">
            <v>3191U</v>
          </cell>
          <cell r="K811">
            <v>44716</v>
          </cell>
        </row>
        <row r="812">
          <cell r="C812" t="str">
            <v>1128A</v>
          </cell>
          <cell r="K812">
            <v>44717</v>
          </cell>
        </row>
        <row r="813">
          <cell r="C813" t="str">
            <v>1172A</v>
          </cell>
          <cell r="K813">
            <v>44717</v>
          </cell>
        </row>
        <row r="814">
          <cell r="C814" t="str">
            <v>1172A</v>
          </cell>
          <cell r="K814">
            <v>44717</v>
          </cell>
        </row>
        <row r="815">
          <cell r="C815" t="str">
            <v>1180A</v>
          </cell>
          <cell r="K815">
            <v>44717</v>
          </cell>
        </row>
        <row r="816">
          <cell r="C816" t="str">
            <v>1180D</v>
          </cell>
          <cell r="K816">
            <v>44717</v>
          </cell>
        </row>
        <row r="817">
          <cell r="C817">
            <v>4021</v>
          </cell>
          <cell r="K817">
            <v>44717</v>
          </cell>
        </row>
        <row r="818">
          <cell r="C818">
            <v>4024</v>
          </cell>
          <cell r="K818">
            <v>44717</v>
          </cell>
        </row>
        <row r="819">
          <cell r="C819">
            <v>37522</v>
          </cell>
          <cell r="K819">
            <v>44717</v>
          </cell>
        </row>
        <row r="820">
          <cell r="C820" t="str">
            <v>1211A</v>
          </cell>
          <cell r="K820">
            <v>44717</v>
          </cell>
        </row>
        <row r="821">
          <cell r="C821" t="str">
            <v>306B</v>
          </cell>
          <cell r="K821">
            <v>44717</v>
          </cell>
        </row>
        <row r="822">
          <cell r="C822" t="str">
            <v>3191U</v>
          </cell>
          <cell r="K822">
            <v>44717</v>
          </cell>
        </row>
        <row r="823">
          <cell r="C823" t="str">
            <v>1110A</v>
          </cell>
          <cell r="K823">
            <v>44718</v>
          </cell>
        </row>
        <row r="824">
          <cell r="C824" t="str">
            <v>1172A</v>
          </cell>
          <cell r="K824">
            <v>44718</v>
          </cell>
        </row>
        <row r="825">
          <cell r="C825">
            <v>37531</v>
          </cell>
          <cell r="K825">
            <v>44719</v>
          </cell>
        </row>
        <row r="826">
          <cell r="C826" t="str">
            <v>1172A</v>
          </cell>
          <cell r="K826">
            <v>44719</v>
          </cell>
        </row>
        <row r="827">
          <cell r="C827" t="str">
            <v>1172A</v>
          </cell>
          <cell r="K827">
            <v>44719</v>
          </cell>
        </row>
        <row r="828">
          <cell r="C828" t="str">
            <v>3191U</v>
          </cell>
          <cell r="K828">
            <v>44719</v>
          </cell>
        </row>
        <row r="829">
          <cell r="C829" t="str">
            <v>1172A</v>
          </cell>
          <cell r="K829">
            <v>44719</v>
          </cell>
        </row>
        <row r="830">
          <cell r="C830" t="str">
            <v>3752A3</v>
          </cell>
          <cell r="K830">
            <v>44719</v>
          </cell>
        </row>
        <row r="831">
          <cell r="C831" t="str">
            <v>1172A</v>
          </cell>
          <cell r="K831">
            <v>44719</v>
          </cell>
        </row>
        <row r="832">
          <cell r="C832">
            <v>4021</v>
          </cell>
          <cell r="K832">
            <v>44720</v>
          </cell>
        </row>
        <row r="833">
          <cell r="C833" t="str">
            <v>1172A</v>
          </cell>
          <cell r="K833">
            <v>44720</v>
          </cell>
        </row>
        <row r="834">
          <cell r="C834" t="str">
            <v>1172A</v>
          </cell>
          <cell r="K834">
            <v>44720</v>
          </cell>
        </row>
        <row r="835">
          <cell r="C835" t="str">
            <v>1172A</v>
          </cell>
          <cell r="K835">
            <v>44720</v>
          </cell>
        </row>
        <row r="836">
          <cell r="C836" t="str">
            <v>1126A</v>
          </cell>
          <cell r="K836">
            <v>44720</v>
          </cell>
        </row>
        <row r="837">
          <cell r="C837" t="str">
            <v>1140A</v>
          </cell>
          <cell r="K837">
            <v>44720</v>
          </cell>
        </row>
        <row r="838">
          <cell r="C838" t="str">
            <v>1172A</v>
          </cell>
          <cell r="K838">
            <v>44720</v>
          </cell>
        </row>
        <row r="839">
          <cell r="C839" t="str">
            <v>1172A</v>
          </cell>
          <cell r="K839">
            <v>44720</v>
          </cell>
        </row>
        <row r="840">
          <cell r="C840" t="str">
            <v>1172A</v>
          </cell>
          <cell r="K840">
            <v>44721</v>
          </cell>
        </row>
        <row r="841">
          <cell r="C841" t="str">
            <v>1172A</v>
          </cell>
          <cell r="K841">
            <v>44721</v>
          </cell>
        </row>
        <row r="842">
          <cell r="C842">
            <v>5091</v>
          </cell>
          <cell r="K842">
            <v>44721</v>
          </cell>
        </row>
        <row r="843">
          <cell r="C843" t="str">
            <v>1172A</v>
          </cell>
          <cell r="K843">
            <v>44721</v>
          </cell>
        </row>
        <row r="844">
          <cell r="C844">
            <v>5091</v>
          </cell>
          <cell r="K844">
            <v>44721</v>
          </cell>
        </row>
        <row r="845">
          <cell r="C845" t="str">
            <v>1111D1</v>
          </cell>
          <cell r="K845">
            <v>44721</v>
          </cell>
        </row>
        <row r="846">
          <cell r="C846" t="str">
            <v>6001A</v>
          </cell>
          <cell r="K846">
            <v>44722</v>
          </cell>
        </row>
        <row r="847">
          <cell r="C847" t="str">
            <v>605A1</v>
          </cell>
          <cell r="K847">
            <v>44722</v>
          </cell>
        </row>
        <row r="848">
          <cell r="C848" t="str">
            <v>1160E</v>
          </cell>
          <cell r="K848">
            <v>44722</v>
          </cell>
        </row>
        <row r="849">
          <cell r="C849" t="str">
            <v>306B</v>
          </cell>
          <cell r="K849">
            <v>44723</v>
          </cell>
        </row>
        <row r="850">
          <cell r="C850" t="str">
            <v>1225C2A</v>
          </cell>
          <cell r="K850">
            <v>44724</v>
          </cell>
        </row>
        <row r="851">
          <cell r="C851" t="str">
            <v>3752A1</v>
          </cell>
          <cell r="K851">
            <v>44724</v>
          </cell>
        </row>
        <row r="852">
          <cell r="C852" t="str">
            <v>1172A</v>
          </cell>
          <cell r="K852">
            <v>44724</v>
          </cell>
        </row>
        <row r="853">
          <cell r="C853" t="str">
            <v>3191U</v>
          </cell>
          <cell r="K853">
            <v>44724</v>
          </cell>
        </row>
        <row r="854">
          <cell r="C854" t="str">
            <v>37540B</v>
          </cell>
          <cell r="K854">
            <v>44725</v>
          </cell>
        </row>
        <row r="855">
          <cell r="C855" t="str">
            <v>37540B</v>
          </cell>
          <cell r="K855">
            <v>44725</v>
          </cell>
        </row>
        <row r="856">
          <cell r="C856" t="str">
            <v>37540B</v>
          </cell>
          <cell r="K856">
            <v>44725</v>
          </cell>
        </row>
        <row r="857">
          <cell r="C857" t="str">
            <v>1172A</v>
          </cell>
          <cell r="K857">
            <v>44725</v>
          </cell>
        </row>
        <row r="858">
          <cell r="C858" t="str">
            <v>1172A</v>
          </cell>
          <cell r="K858">
            <v>44725</v>
          </cell>
        </row>
        <row r="859">
          <cell r="C859" t="str">
            <v>1172A</v>
          </cell>
          <cell r="K859">
            <v>44725</v>
          </cell>
        </row>
        <row r="860">
          <cell r="C860" t="str">
            <v>1110A</v>
          </cell>
          <cell r="K860">
            <v>44725</v>
          </cell>
        </row>
        <row r="861">
          <cell r="C861" t="str">
            <v>3752A1</v>
          </cell>
          <cell r="K861">
            <v>44725</v>
          </cell>
        </row>
        <row r="862">
          <cell r="C862" t="str">
            <v>1163A</v>
          </cell>
          <cell r="K862">
            <v>44725</v>
          </cell>
        </row>
        <row r="863">
          <cell r="C863" t="str">
            <v>37540B</v>
          </cell>
          <cell r="K863">
            <v>44725</v>
          </cell>
        </row>
        <row r="864">
          <cell r="C864">
            <v>22653</v>
          </cell>
          <cell r="K864">
            <v>44726</v>
          </cell>
        </row>
        <row r="865">
          <cell r="C865">
            <v>22653</v>
          </cell>
          <cell r="K865">
            <v>44726</v>
          </cell>
        </row>
        <row r="866">
          <cell r="C866" t="str">
            <v>1172A</v>
          </cell>
          <cell r="K866">
            <v>44726</v>
          </cell>
        </row>
        <row r="867">
          <cell r="C867" t="str">
            <v>1172A</v>
          </cell>
          <cell r="K867">
            <v>44726</v>
          </cell>
        </row>
        <row r="868">
          <cell r="C868" t="str">
            <v>1180A</v>
          </cell>
          <cell r="K868">
            <v>44726</v>
          </cell>
        </row>
        <row r="869">
          <cell r="C869" t="str">
            <v>2261-1</v>
          </cell>
          <cell r="K869">
            <v>44726</v>
          </cell>
        </row>
        <row r="870">
          <cell r="C870" t="str">
            <v>1172A</v>
          </cell>
          <cell r="K870">
            <v>44726</v>
          </cell>
        </row>
        <row r="871">
          <cell r="C871" t="str">
            <v>1172A</v>
          </cell>
          <cell r="K871">
            <v>44727</v>
          </cell>
        </row>
        <row r="872">
          <cell r="C872" t="str">
            <v>3752A1</v>
          </cell>
          <cell r="K872">
            <v>44727</v>
          </cell>
        </row>
        <row r="873">
          <cell r="C873" t="str">
            <v>37512AB2</v>
          </cell>
          <cell r="K873">
            <v>44728</v>
          </cell>
        </row>
        <row r="874">
          <cell r="C874" t="str">
            <v>4011A</v>
          </cell>
          <cell r="K874">
            <v>44728</v>
          </cell>
        </row>
        <row r="875">
          <cell r="C875" t="str">
            <v>1172A</v>
          </cell>
          <cell r="K875">
            <v>44728</v>
          </cell>
        </row>
        <row r="876">
          <cell r="C876" t="str">
            <v>1110A</v>
          </cell>
          <cell r="K876">
            <v>44729</v>
          </cell>
        </row>
        <row r="877">
          <cell r="C877">
            <v>5092</v>
          </cell>
          <cell r="K877">
            <v>44729</v>
          </cell>
        </row>
        <row r="878">
          <cell r="C878" t="str">
            <v>5111A</v>
          </cell>
          <cell r="K878">
            <v>44729</v>
          </cell>
        </row>
        <row r="879">
          <cell r="C879" t="str">
            <v>4011A</v>
          </cell>
          <cell r="K879">
            <v>44730</v>
          </cell>
        </row>
        <row r="880">
          <cell r="C880">
            <v>4024</v>
          </cell>
          <cell r="K880">
            <v>44730</v>
          </cell>
        </row>
        <row r="881">
          <cell r="C881">
            <v>3192</v>
          </cell>
          <cell r="K881">
            <v>44730</v>
          </cell>
        </row>
        <row r="882">
          <cell r="C882">
            <v>5092</v>
          </cell>
          <cell r="K882">
            <v>44730</v>
          </cell>
        </row>
        <row r="883">
          <cell r="C883" t="str">
            <v>1172A</v>
          </cell>
          <cell r="K883">
            <v>44730</v>
          </cell>
        </row>
        <row r="884">
          <cell r="C884" t="str">
            <v>4011A</v>
          </cell>
          <cell r="K884">
            <v>44730</v>
          </cell>
        </row>
        <row r="885">
          <cell r="C885" t="str">
            <v>1172A</v>
          </cell>
          <cell r="K885">
            <v>44731</v>
          </cell>
        </row>
        <row r="886">
          <cell r="C886" t="str">
            <v>1172A</v>
          </cell>
          <cell r="K886">
            <v>44732</v>
          </cell>
        </row>
        <row r="887">
          <cell r="C887" t="str">
            <v>1111D1</v>
          </cell>
          <cell r="K887">
            <v>44733</v>
          </cell>
        </row>
        <row r="888">
          <cell r="C888" t="str">
            <v>1172A</v>
          </cell>
          <cell r="K888">
            <v>44733</v>
          </cell>
        </row>
        <row r="889">
          <cell r="C889" t="str">
            <v>1172A</v>
          </cell>
          <cell r="K889">
            <v>44734</v>
          </cell>
        </row>
        <row r="890">
          <cell r="C890">
            <v>4021</v>
          </cell>
          <cell r="K890">
            <v>44734</v>
          </cell>
        </row>
        <row r="891">
          <cell r="C891" t="str">
            <v>380A</v>
          </cell>
          <cell r="K891">
            <v>44734</v>
          </cell>
        </row>
        <row r="892">
          <cell r="C892" t="str">
            <v>1172A</v>
          </cell>
          <cell r="K892">
            <v>44734</v>
          </cell>
        </row>
        <row r="893">
          <cell r="C893" t="str">
            <v/>
          </cell>
          <cell r="K893">
            <v>44734</v>
          </cell>
        </row>
        <row r="894">
          <cell r="C894">
            <v>512</v>
          </cell>
          <cell r="K894">
            <v>44735</v>
          </cell>
        </row>
        <row r="895">
          <cell r="C895" t="str">
            <v>1225C2A</v>
          </cell>
          <cell r="K895">
            <v>44735</v>
          </cell>
        </row>
        <row r="896">
          <cell r="C896" t="str">
            <v>4011A</v>
          </cell>
          <cell r="K896">
            <v>44735</v>
          </cell>
        </row>
        <row r="897">
          <cell r="C897">
            <v>3751</v>
          </cell>
          <cell r="K897">
            <v>44735</v>
          </cell>
        </row>
        <row r="898">
          <cell r="C898">
            <v>3759</v>
          </cell>
          <cell r="K898">
            <v>44735</v>
          </cell>
        </row>
        <row r="899">
          <cell r="C899">
            <v>3759</v>
          </cell>
          <cell r="K899">
            <v>44735</v>
          </cell>
        </row>
        <row r="900">
          <cell r="C900">
            <v>3759</v>
          </cell>
          <cell r="K900">
            <v>44735</v>
          </cell>
        </row>
        <row r="901">
          <cell r="C901">
            <v>3759</v>
          </cell>
          <cell r="K901">
            <v>44735</v>
          </cell>
        </row>
        <row r="902">
          <cell r="C902">
            <v>3759</v>
          </cell>
          <cell r="K902">
            <v>44735</v>
          </cell>
        </row>
        <row r="903">
          <cell r="C903">
            <v>3759</v>
          </cell>
          <cell r="K903">
            <v>44735</v>
          </cell>
        </row>
        <row r="904">
          <cell r="C904">
            <v>4021</v>
          </cell>
          <cell r="K904">
            <v>44735</v>
          </cell>
        </row>
        <row r="905">
          <cell r="C905">
            <v>4021</v>
          </cell>
          <cell r="K905">
            <v>44735</v>
          </cell>
        </row>
        <row r="906">
          <cell r="C906">
            <v>37517</v>
          </cell>
          <cell r="K906">
            <v>44735</v>
          </cell>
        </row>
        <row r="907">
          <cell r="C907">
            <v>37517</v>
          </cell>
          <cell r="K907">
            <v>44735</v>
          </cell>
        </row>
        <row r="908">
          <cell r="C908">
            <v>37517</v>
          </cell>
          <cell r="K908">
            <v>44735</v>
          </cell>
        </row>
        <row r="909">
          <cell r="C909">
            <v>37522</v>
          </cell>
          <cell r="K909">
            <v>44735</v>
          </cell>
        </row>
        <row r="910">
          <cell r="C910" t="str">
            <v>1229C3</v>
          </cell>
          <cell r="K910">
            <v>44735</v>
          </cell>
        </row>
        <row r="911">
          <cell r="C911" t="str">
            <v>1229C3</v>
          </cell>
          <cell r="K911">
            <v>44735</v>
          </cell>
        </row>
        <row r="912">
          <cell r="C912" t="str">
            <v>1402CII</v>
          </cell>
          <cell r="K912">
            <v>44735</v>
          </cell>
        </row>
        <row r="913">
          <cell r="C913" t="str">
            <v>1402CII</v>
          </cell>
          <cell r="K913">
            <v>44735</v>
          </cell>
        </row>
        <row r="914">
          <cell r="C914" t="str">
            <v>1402CII</v>
          </cell>
          <cell r="K914">
            <v>44735</v>
          </cell>
        </row>
        <row r="915">
          <cell r="C915" t="str">
            <v>1402CII</v>
          </cell>
          <cell r="K915">
            <v>44735</v>
          </cell>
        </row>
        <row r="916">
          <cell r="C916" t="str">
            <v>1402CII</v>
          </cell>
          <cell r="K916">
            <v>44735</v>
          </cell>
        </row>
        <row r="917">
          <cell r="C917" t="str">
            <v>1402CII</v>
          </cell>
          <cell r="K917">
            <v>44735</v>
          </cell>
        </row>
        <row r="918">
          <cell r="C918" t="str">
            <v>1402CII</v>
          </cell>
          <cell r="K918">
            <v>44735</v>
          </cell>
        </row>
        <row r="919">
          <cell r="C919" t="str">
            <v>1402CII</v>
          </cell>
          <cell r="K919">
            <v>44735</v>
          </cell>
        </row>
        <row r="920">
          <cell r="C920" t="str">
            <v>1402CII</v>
          </cell>
          <cell r="K920">
            <v>44735</v>
          </cell>
        </row>
        <row r="921">
          <cell r="C921" t="str">
            <v>1402CII</v>
          </cell>
          <cell r="K921">
            <v>44735</v>
          </cell>
        </row>
        <row r="922">
          <cell r="C922" t="str">
            <v>1402CII</v>
          </cell>
          <cell r="K922">
            <v>44735</v>
          </cell>
        </row>
        <row r="923">
          <cell r="C923" t="str">
            <v>1402CII</v>
          </cell>
          <cell r="K923">
            <v>44735</v>
          </cell>
        </row>
        <row r="924">
          <cell r="C924" t="str">
            <v>1402CII</v>
          </cell>
          <cell r="K924">
            <v>44735</v>
          </cell>
        </row>
        <row r="925">
          <cell r="C925" t="str">
            <v>1402CII</v>
          </cell>
          <cell r="K925">
            <v>44735</v>
          </cell>
        </row>
        <row r="926">
          <cell r="C926" t="str">
            <v>1402CII</v>
          </cell>
          <cell r="K926">
            <v>44735</v>
          </cell>
        </row>
        <row r="927">
          <cell r="C927" t="str">
            <v>1815A1</v>
          </cell>
          <cell r="K927">
            <v>44735</v>
          </cell>
        </row>
        <row r="928">
          <cell r="C928" t="str">
            <v>1815A1</v>
          </cell>
          <cell r="K928">
            <v>44735</v>
          </cell>
        </row>
        <row r="929">
          <cell r="C929" t="str">
            <v>3191U</v>
          </cell>
          <cell r="K929">
            <v>44735</v>
          </cell>
        </row>
        <row r="930">
          <cell r="C930" t="str">
            <v>37525A</v>
          </cell>
          <cell r="K930">
            <v>44735</v>
          </cell>
        </row>
        <row r="931">
          <cell r="C931" t="str">
            <v>3752A</v>
          </cell>
          <cell r="K931">
            <v>44735</v>
          </cell>
        </row>
        <row r="932">
          <cell r="C932" t="str">
            <v>3752A3</v>
          </cell>
          <cell r="K932">
            <v>44735</v>
          </cell>
        </row>
        <row r="933">
          <cell r="C933" t="str">
            <v>3761A</v>
          </cell>
          <cell r="K933">
            <v>44735</v>
          </cell>
        </row>
        <row r="934">
          <cell r="C934" t="str">
            <v>3761A</v>
          </cell>
          <cell r="K934">
            <v>44735</v>
          </cell>
        </row>
        <row r="935">
          <cell r="C935" t="str">
            <v>3761A</v>
          </cell>
          <cell r="K935">
            <v>44735</v>
          </cell>
        </row>
        <row r="936">
          <cell r="C936" t="str">
            <v>3761A</v>
          </cell>
          <cell r="K936">
            <v>44735</v>
          </cell>
        </row>
        <row r="937">
          <cell r="C937" t="str">
            <v>3761A</v>
          </cell>
          <cell r="K937">
            <v>44735</v>
          </cell>
        </row>
        <row r="938">
          <cell r="C938" t="str">
            <v>3761A</v>
          </cell>
          <cell r="K938">
            <v>44735</v>
          </cell>
        </row>
        <row r="939">
          <cell r="C939" t="str">
            <v>3761A</v>
          </cell>
          <cell r="K939">
            <v>44735</v>
          </cell>
        </row>
        <row r="940">
          <cell r="C940" t="str">
            <v>3761A</v>
          </cell>
          <cell r="K940">
            <v>44735</v>
          </cell>
        </row>
        <row r="941">
          <cell r="C941" t="str">
            <v>3761A</v>
          </cell>
          <cell r="K941">
            <v>44735</v>
          </cell>
        </row>
        <row r="942">
          <cell r="C942" t="str">
            <v>380A1</v>
          </cell>
          <cell r="K942">
            <v>44735</v>
          </cell>
        </row>
        <row r="943">
          <cell r="C943" t="str">
            <v>380A1</v>
          </cell>
          <cell r="K943">
            <v>44735</v>
          </cell>
        </row>
        <row r="944">
          <cell r="C944" t="str">
            <v>1122A</v>
          </cell>
          <cell r="K944">
            <v>44736</v>
          </cell>
        </row>
        <row r="945">
          <cell r="C945" t="str">
            <v>1180A</v>
          </cell>
          <cell r="K945">
            <v>44736</v>
          </cell>
        </row>
        <row r="946">
          <cell r="C946" t="str">
            <v>1225C2A</v>
          </cell>
          <cell r="K946">
            <v>44736</v>
          </cell>
        </row>
        <row r="947">
          <cell r="C947" t="str">
            <v>1172A</v>
          </cell>
          <cell r="K947">
            <v>44736</v>
          </cell>
        </row>
        <row r="948">
          <cell r="C948" t="str">
            <v>3191U</v>
          </cell>
          <cell r="K948">
            <v>44736</v>
          </cell>
        </row>
        <row r="949">
          <cell r="C949" t="str">
            <v>1160B</v>
          </cell>
          <cell r="K949">
            <v>44737</v>
          </cell>
        </row>
        <row r="950">
          <cell r="C950" t="str">
            <v>1172A</v>
          </cell>
          <cell r="K950">
            <v>44737</v>
          </cell>
        </row>
        <row r="951">
          <cell r="C951" t="str">
            <v/>
          </cell>
          <cell r="K951">
            <v>44738</v>
          </cell>
        </row>
        <row r="952">
          <cell r="C952" t="str">
            <v>1172A</v>
          </cell>
          <cell r="K952">
            <v>44739</v>
          </cell>
        </row>
        <row r="953">
          <cell r="C953" t="str">
            <v>1142A</v>
          </cell>
          <cell r="K953">
            <v>44740</v>
          </cell>
        </row>
        <row r="954">
          <cell r="C954" t="str">
            <v>1172A</v>
          </cell>
          <cell r="K954">
            <v>44740</v>
          </cell>
        </row>
        <row r="955">
          <cell r="C955" t="str">
            <v>1172A</v>
          </cell>
          <cell r="K955">
            <v>44740</v>
          </cell>
        </row>
        <row r="956">
          <cell r="C956" t="str">
            <v>1172A</v>
          </cell>
          <cell r="K956">
            <v>44741</v>
          </cell>
        </row>
        <row r="957">
          <cell r="C957" t="str">
            <v>37540B</v>
          </cell>
          <cell r="K957">
            <v>44741</v>
          </cell>
        </row>
        <row r="958">
          <cell r="C958" t="str">
            <v>1172A</v>
          </cell>
          <cell r="K958">
            <v>44742</v>
          </cell>
        </row>
        <row r="959">
          <cell r="C959" t="str">
            <v>6001A</v>
          </cell>
          <cell r="K959">
            <v>44743</v>
          </cell>
        </row>
        <row r="960">
          <cell r="C960" t="str">
            <v>1172A</v>
          </cell>
          <cell r="K960">
            <v>44743</v>
          </cell>
        </row>
        <row r="961">
          <cell r="C961">
            <v>11923</v>
          </cell>
          <cell r="K961">
            <v>44743</v>
          </cell>
        </row>
        <row r="962">
          <cell r="C962" t="str">
            <v>1172A</v>
          </cell>
          <cell r="K962">
            <v>44743</v>
          </cell>
        </row>
        <row r="963">
          <cell r="C963">
            <v>3192</v>
          </cell>
          <cell r="K963">
            <v>44743</v>
          </cell>
        </row>
        <row r="964">
          <cell r="C964" t="str">
            <v>1172A</v>
          </cell>
          <cell r="K964">
            <v>44743</v>
          </cell>
        </row>
        <row r="965">
          <cell r="C965" t="str">
            <v>306B</v>
          </cell>
          <cell r="K965">
            <v>44743</v>
          </cell>
        </row>
        <row r="966">
          <cell r="C966" t="str">
            <v>37540B</v>
          </cell>
          <cell r="K966">
            <v>44743</v>
          </cell>
        </row>
        <row r="967">
          <cell r="C967" t="str">
            <v>4011A</v>
          </cell>
          <cell r="K967">
            <v>44743</v>
          </cell>
        </row>
        <row r="968">
          <cell r="C968" t="str">
            <v>1172A</v>
          </cell>
          <cell r="K968">
            <v>44743</v>
          </cell>
        </row>
        <row r="969">
          <cell r="C969" t="str">
            <v>37540B</v>
          </cell>
          <cell r="K969">
            <v>44744</v>
          </cell>
        </row>
        <row r="970">
          <cell r="C970">
            <v>3192</v>
          </cell>
          <cell r="K970">
            <v>44744</v>
          </cell>
        </row>
        <row r="971">
          <cell r="C971" t="str">
            <v>1172A</v>
          </cell>
          <cell r="K971">
            <v>44745</v>
          </cell>
        </row>
        <row r="972">
          <cell r="C972">
            <v>3816</v>
          </cell>
          <cell r="K972">
            <v>44745</v>
          </cell>
        </row>
        <row r="973">
          <cell r="C973">
            <v>5092</v>
          </cell>
          <cell r="K973">
            <v>44745</v>
          </cell>
        </row>
        <row r="974">
          <cell r="C974">
            <v>11923</v>
          </cell>
          <cell r="K974">
            <v>44745</v>
          </cell>
        </row>
        <row r="975">
          <cell r="C975">
            <v>22653</v>
          </cell>
          <cell r="K975">
            <v>44745</v>
          </cell>
        </row>
        <row r="976">
          <cell r="C976" t="str">
            <v>2265-2A</v>
          </cell>
          <cell r="K976">
            <v>44745</v>
          </cell>
        </row>
        <row r="977">
          <cell r="C977" t="str">
            <v>5111A</v>
          </cell>
          <cell r="K977">
            <v>44745</v>
          </cell>
        </row>
        <row r="978">
          <cell r="C978" t="str">
            <v>1180D</v>
          </cell>
          <cell r="K978">
            <v>44746</v>
          </cell>
        </row>
        <row r="979">
          <cell r="C979">
            <v>512</v>
          </cell>
          <cell r="K979">
            <v>44746</v>
          </cell>
        </row>
        <row r="980">
          <cell r="C980" t="str">
            <v>1126A</v>
          </cell>
          <cell r="K980">
            <v>44746</v>
          </cell>
        </row>
        <row r="981">
          <cell r="C981" t="str">
            <v>1225C2A</v>
          </cell>
          <cell r="K981">
            <v>44746</v>
          </cell>
        </row>
        <row r="982">
          <cell r="C982">
            <v>512</v>
          </cell>
          <cell r="K982">
            <v>44747</v>
          </cell>
        </row>
        <row r="983">
          <cell r="C983" t="str">
            <v>306B</v>
          </cell>
          <cell r="K983">
            <v>44747</v>
          </cell>
        </row>
        <row r="984">
          <cell r="C984" t="str">
            <v>5112A2</v>
          </cell>
          <cell r="K984">
            <v>44747</v>
          </cell>
        </row>
        <row r="985">
          <cell r="C985" t="str">
            <v>5112A4</v>
          </cell>
          <cell r="K985">
            <v>44747</v>
          </cell>
        </row>
        <row r="986">
          <cell r="C986" t="str">
            <v>1172A</v>
          </cell>
          <cell r="K986">
            <v>44748</v>
          </cell>
        </row>
        <row r="987">
          <cell r="C987" t="str">
            <v>3191U</v>
          </cell>
          <cell r="K987">
            <v>44748</v>
          </cell>
        </row>
        <row r="988">
          <cell r="C988" t="str">
            <v>3752A1</v>
          </cell>
          <cell r="K988">
            <v>44748</v>
          </cell>
        </row>
        <row r="989">
          <cell r="C989" t="str">
            <v>37540B</v>
          </cell>
          <cell r="K989">
            <v>44748</v>
          </cell>
        </row>
        <row r="990">
          <cell r="C990" t="str">
            <v>1172A</v>
          </cell>
          <cell r="K990">
            <v>44749</v>
          </cell>
        </row>
        <row r="991">
          <cell r="C991" t="str">
            <v>1172A</v>
          </cell>
          <cell r="K991">
            <v>44749</v>
          </cell>
        </row>
        <row r="992">
          <cell r="C992" t="str">
            <v>1172A</v>
          </cell>
          <cell r="K992">
            <v>44749</v>
          </cell>
        </row>
        <row r="993">
          <cell r="C993" t="str">
            <v>3752A1</v>
          </cell>
          <cell r="K993">
            <v>44750</v>
          </cell>
        </row>
        <row r="994">
          <cell r="C994" t="str">
            <v>1160E</v>
          </cell>
          <cell r="K994">
            <v>44750</v>
          </cell>
        </row>
        <row r="995">
          <cell r="C995" t="str">
            <v>1172A</v>
          </cell>
          <cell r="K995">
            <v>44750</v>
          </cell>
        </row>
        <row r="996">
          <cell r="C996" t="str">
            <v>3191U</v>
          </cell>
          <cell r="K996">
            <v>44750</v>
          </cell>
        </row>
        <row r="997">
          <cell r="C997">
            <v>1175</v>
          </cell>
          <cell r="K997">
            <v>44750</v>
          </cell>
        </row>
        <row r="998">
          <cell r="C998" t="str">
            <v>3191U</v>
          </cell>
          <cell r="K998">
            <v>44750</v>
          </cell>
        </row>
        <row r="999">
          <cell r="C999" t="str">
            <v>1172A</v>
          </cell>
          <cell r="K999">
            <v>44750</v>
          </cell>
        </row>
        <row r="1000">
          <cell r="C1000" t="str">
            <v>1172A</v>
          </cell>
          <cell r="K1000">
            <v>44751</v>
          </cell>
        </row>
        <row r="1001">
          <cell r="C1001" t="str">
            <v>3752A1</v>
          </cell>
          <cell r="K1001">
            <v>44751</v>
          </cell>
        </row>
        <row r="1002">
          <cell r="C1002" t="str">
            <v>1110A</v>
          </cell>
          <cell r="K1002">
            <v>44751</v>
          </cell>
        </row>
        <row r="1003">
          <cell r="C1003" t="str">
            <v>1172A</v>
          </cell>
          <cell r="K1003">
            <v>44751</v>
          </cell>
        </row>
        <row r="1004">
          <cell r="C1004" t="str">
            <v>1172A</v>
          </cell>
          <cell r="K1004">
            <v>44752</v>
          </cell>
        </row>
        <row r="1005">
          <cell r="C1005" t="str">
            <v>1111D1</v>
          </cell>
          <cell r="K1005">
            <v>44752</v>
          </cell>
        </row>
        <row r="1006">
          <cell r="C1006" t="str">
            <v>1151A</v>
          </cell>
          <cell r="K1006">
            <v>44752</v>
          </cell>
        </row>
        <row r="1007">
          <cell r="C1007" t="str">
            <v>4011A</v>
          </cell>
          <cell r="K1007">
            <v>44753</v>
          </cell>
        </row>
        <row r="1008">
          <cell r="C1008" t="str">
            <v>3752A1</v>
          </cell>
          <cell r="K1008">
            <v>44753</v>
          </cell>
        </row>
        <row r="1009">
          <cell r="C1009">
            <v>5091</v>
          </cell>
          <cell r="K1009">
            <v>44753</v>
          </cell>
        </row>
        <row r="1010">
          <cell r="C1010" t="str">
            <v>1172A</v>
          </cell>
          <cell r="K1010">
            <v>44754</v>
          </cell>
        </row>
        <row r="1011">
          <cell r="C1011" t="str">
            <v>1172A</v>
          </cell>
          <cell r="K1011">
            <v>44754</v>
          </cell>
        </row>
        <row r="1012">
          <cell r="C1012" t="str">
            <v>1172A</v>
          </cell>
          <cell r="K1012">
            <v>44754</v>
          </cell>
        </row>
        <row r="1013">
          <cell r="C1013" t="str">
            <v>1172A</v>
          </cell>
          <cell r="K1013">
            <v>44754</v>
          </cell>
        </row>
        <row r="1014">
          <cell r="C1014" t="str">
            <v>1180A</v>
          </cell>
          <cell r="K1014">
            <v>44754</v>
          </cell>
        </row>
        <row r="1015">
          <cell r="C1015" t="str">
            <v>1172A</v>
          </cell>
          <cell r="K1015">
            <v>44755</v>
          </cell>
        </row>
        <row r="1016">
          <cell r="C1016" t="str">
            <v>5111A</v>
          </cell>
          <cell r="K1016">
            <v>44755</v>
          </cell>
        </row>
        <row r="1017">
          <cell r="C1017" t="str">
            <v>1225D1A</v>
          </cell>
          <cell r="K1017">
            <v>44755</v>
          </cell>
        </row>
        <row r="1018">
          <cell r="C1018" t="str">
            <v>1172A</v>
          </cell>
          <cell r="K1018">
            <v>44755</v>
          </cell>
        </row>
        <row r="1019">
          <cell r="C1019" t="str">
            <v>37512AB2</v>
          </cell>
          <cell r="K1019">
            <v>44755</v>
          </cell>
        </row>
        <row r="1020">
          <cell r="C1020" t="str">
            <v>1172A</v>
          </cell>
          <cell r="K1020">
            <v>44755</v>
          </cell>
        </row>
        <row r="1021">
          <cell r="C1021" t="str">
            <v>1172A</v>
          </cell>
          <cell r="K1021">
            <v>44756</v>
          </cell>
        </row>
        <row r="1022">
          <cell r="C1022" t="str">
            <v>1229C3</v>
          </cell>
          <cell r="K1022">
            <v>44756</v>
          </cell>
        </row>
        <row r="1023">
          <cell r="C1023" t="str">
            <v>3752A1</v>
          </cell>
          <cell r="K1023">
            <v>44757</v>
          </cell>
        </row>
        <row r="1024">
          <cell r="C1024" t="str">
            <v>1172A</v>
          </cell>
          <cell r="K1024">
            <v>44757</v>
          </cell>
        </row>
        <row r="1025">
          <cell r="C1025" t="str">
            <v>37512AB2</v>
          </cell>
          <cell r="K1025">
            <v>44757</v>
          </cell>
        </row>
        <row r="1026">
          <cell r="C1026" t="str">
            <v>1172A</v>
          </cell>
          <cell r="K1026">
            <v>44758</v>
          </cell>
        </row>
        <row r="1027">
          <cell r="C1027" t="str">
            <v>1172A</v>
          </cell>
          <cell r="K1027">
            <v>44758</v>
          </cell>
        </row>
        <row r="1028">
          <cell r="C1028" t="str">
            <v>1172A</v>
          </cell>
          <cell r="K1028">
            <v>44758</v>
          </cell>
        </row>
        <row r="1029">
          <cell r="C1029" t="str">
            <v>3191U</v>
          </cell>
          <cell r="K1029">
            <v>44758</v>
          </cell>
        </row>
        <row r="1030">
          <cell r="C1030" t="str">
            <v>1172A</v>
          </cell>
          <cell r="K1030">
            <v>44760</v>
          </cell>
        </row>
        <row r="1031">
          <cell r="C1031" t="str">
            <v>37512AB</v>
          </cell>
          <cell r="K1031">
            <v>44760</v>
          </cell>
        </row>
        <row r="1032">
          <cell r="C1032" t="str">
            <v>1172A</v>
          </cell>
          <cell r="K1032">
            <v>44761</v>
          </cell>
        </row>
        <row r="1033">
          <cell r="C1033" t="str">
            <v>37510A</v>
          </cell>
          <cell r="K1033">
            <v>44761</v>
          </cell>
        </row>
        <row r="1034">
          <cell r="C1034" t="str">
            <v>1172A</v>
          </cell>
          <cell r="K1034">
            <v>44761</v>
          </cell>
        </row>
        <row r="1035">
          <cell r="C1035" t="str">
            <v>1172A</v>
          </cell>
          <cell r="K1035">
            <v>44761</v>
          </cell>
        </row>
        <row r="1036">
          <cell r="C1036" t="str">
            <v>1172A</v>
          </cell>
          <cell r="K1036">
            <v>44761</v>
          </cell>
        </row>
        <row r="1037">
          <cell r="C1037" t="str">
            <v>1172A</v>
          </cell>
          <cell r="K1037">
            <v>44762</v>
          </cell>
        </row>
        <row r="1038">
          <cell r="C1038" t="str">
            <v>1180A</v>
          </cell>
          <cell r="K1038">
            <v>44762</v>
          </cell>
        </row>
        <row r="1039">
          <cell r="C1039" t="str">
            <v>1172A</v>
          </cell>
          <cell r="K1039">
            <v>44762</v>
          </cell>
        </row>
        <row r="1040">
          <cell r="C1040" t="str">
            <v>3752A1</v>
          </cell>
          <cell r="K1040">
            <v>44762</v>
          </cell>
        </row>
        <row r="1041">
          <cell r="C1041" t="str">
            <v>3752A1</v>
          </cell>
          <cell r="K1041">
            <v>44762</v>
          </cell>
        </row>
        <row r="1042">
          <cell r="C1042">
            <v>4101</v>
          </cell>
          <cell r="K1042">
            <v>44762</v>
          </cell>
        </row>
        <row r="1043">
          <cell r="C1043">
            <v>5091</v>
          </cell>
          <cell r="K1043">
            <v>44762</v>
          </cell>
        </row>
        <row r="1044">
          <cell r="C1044" t="str">
            <v>1172A</v>
          </cell>
          <cell r="K1044">
            <v>44762</v>
          </cell>
        </row>
        <row r="1045">
          <cell r="C1045" t="str">
            <v>3191U</v>
          </cell>
          <cell r="K1045">
            <v>44762</v>
          </cell>
        </row>
        <row r="1046">
          <cell r="C1046" t="str">
            <v>1172A</v>
          </cell>
          <cell r="K1046">
            <v>44762</v>
          </cell>
        </row>
        <row r="1047">
          <cell r="C1047" t="str">
            <v>3191U</v>
          </cell>
          <cell r="K1047">
            <v>44762</v>
          </cell>
        </row>
        <row r="1048">
          <cell r="C1048">
            <v>3816</v>
          </cell>
          <cell r="K1048">
            <v>44763</v>
          </cell>
        </row>
        <row r="1049">
          <cell r="C1049" t="str">
            <v>1172A</v>
          </cell>
          <cell r="K1049">
            <v>44763</v>
          </cell>
        </row>
        <row r="1050">
          <cell r="C1050" t="str">
            <v>1180A</v>
          </cell>
          <cell r="K1050">
            <v>44763</v>
          </cell>
        </row>
        <row r="1051">
          <cell r="C1051">
            <v>4021</v>
          </cell>
          <cell r="K1051">
            <v>44763</v>
          </cell>
        </row>
        <row r="1052">
          <cell r="C1052" t="str">
            <v>1172A</v>
          </cell>
          <cell r="K1052">
            <v>44763</v>
          </cell>
        </row>
        <row r="1053">
          <cell r="C1053" t="str">
            <v>1180A</v>
          </cell>
          <cell r="K1053">
            <v>44763</v>
          </cell>
        </row>
        <row r="1054">
          <cell r="C1054" t="str">
            <v>3191U</v>
          </cell>
          <cell r="K1054">
            <v>44763</v>
          </cell>
        </row>
        <row r="1055">
          <cell r="C1055" t="str">
            <v>1172A</v>
          </cell>
          <cell r="K1055">
            <v>44764</v>
          </cell>
        </row>
        <row r="1056">
          <cell r="C1056" t="str">
            <v>1172A</v>
          </cell>
          <cell r="K1056">
            <v>44764</v>
          </cell>
        </row>
        <row r="1057">
          <cell r="C1057" t="str">
            <v>37540B</v>
          </cell>
          <cell r="K1057">
            <v>44764</v>
          </cell>
        </row>
        <row r="1058">
          <cell r="C1058">
            <v>5092</v>
          </cell>
          <cell r="K1058">
            <v>44765</v>
          </cell>
        </row>
        <row r="1059">
          <cell r="C1059">
            <v>11923</v>
          </cell>
          <cell r="K1059">
            <v>44765</v>
          </cell>
        </row>
        <row r="1060">
          <cell r="C1060" t="str">
            <v>37524A</v>
          </cell>
          <cell r="K1060">
            <v>44765</v>
          </cell>
        </row>
        <row r="1061">
          <cell r="C1061" t="str">
            <v>1172A</v>
          </cell>
          <cell r="K1061">
            <v>44765</v>
          </cell>
        </row>
        <row r="1062">
          <cell r="C1062" t="str">
            <v>37540B</v>
          </cell>
          <cell r="K1062">
            <v>44766</v>
          </cell>
        </row>
        <row r="1063">
          <cell r="C1063" t="str">
            <v>1172A</v>
          </cell>
          <cell r="K1063">
            <v>44766</v>
          </cell>
        </row>
        <row r="1064">
          <cell r="C1064" t="str">
            <v>5111A</v>
          </cell>
          <cell r="K1064">
            <v>44766</v>
          </cell>
        </row>
        <row r="1065">
          <cell r="C1065">
            <v>5091</v>
          </cell>
          <cell r="K1065">
            <v>44767</v>
          </cell>
        </row>
        <row r="1066">
          <cell r="C1066">
            <v>5094</v>
          </cell>
          <cell r="K1066">
            <v>44767</v>
          </cell>
        </row>
        <row r="1067">
          <cell r="C1067">
            <v>11922</v>
          </cell>
          <cell r="K1067">
            <v>44768</v>
          </cell>
        </row>
        <row r="1068">
          <cell r="C1068">
            <v>11922</v>
          </cell>
          <cell r="K1068">
            <v>44768</v>
          </cell>
        </row>
        <row r="1069">
          <cell r="C1069" t="str">
            <v>1172A</v>
          </cell>
          <cell r="K1069">
            <v>44770</v>
          </cell>
        </row>
        <row r="1070">
          <cell r="C1070" t="str">
            <v>5111A</v>
          </cell>
          <cell r="K1070">
            <v>44771</v>
          </cell>
        </row>
        <row r="1071">
          <cell r="C1071" t="str">
            <v>3752A1</v>
          </cell>
          <cell r="K1071">
            <v>44771</v>
          </cell>
        </row>
        <row r="1072">
          <cell r="C1072" t="str">
            <v>37540B</v>
          </cell>
          <cell r="K1072">
            <v>44771</v>
          </cell>
        </row>
        <row r="1073">
          <cell r="C1073" t="str">
            <v>1225D1A</v>
          </cell>
          <cell r="K1073">
            <v>44771</v>
          </cell>
        </row>
        <row r="1074">
          <cell r="C1074" t="str">
            <v>3752A1</v>
          </cell>
          <cell r="K1074">
            <v>44773</v>
          </cell>
        </row>
        <row r="1075">
          <cell r="C1075" t="str">
            <v>1172A</v>
          </cell>
          <cell r="K1075">
            <v>44773</v>
          </cell>
        </row>
        <row r="1076">
          <cell r="C1076" t="str">
            <v>1172A</v>
          </cell>
          <cell r="K1076">
            <v>44773</v>
          </cell>
        </row>
        <row r="1077">
          <cell r="C1077" t="str">
            <v>1172A</v>
          </cell>
          <cell r="K1077">
            <v>44773</v>
          </cell>
        </row>
        <row r="1078">
          <cell r="C1078" t="str">
            <v>1110A</v>
          </cell>
          <cell r="K1078">
            <v>44774</v>
          </cell>
        </row>
        <row r="1079">
          <cell r="C1079">
            <v>37531</v>
          </cell>
          <cell r="K1079">
            <v>44774</v>
          </cell>
        </row>
        <row r="1080">
          <cell r="C1080" t="str">
            <v>1172A</v>
          </cell>
          <cell r="K1080">
            <v>44774</v>
          </cell>
        </row>
        <row r="1081">
          <cell r="C1081" t="str">
            <v>1110A</v>
          </cell>
          <cell r="K1081">
            <v>44775</v>
          </cell>
        </row>
        <row r="1082">
          <cell r="C1082" t="str">
            <v>3191U</v>
          </cell>
          <cell r="K1082">
            <v>44775</v>
          </cell>
        </row>
        <row r="1083">
          <cell r="C1083" t="str">
            <v>4011A</v>
          </cell>
          <cell r="K1083">
            <v>44775</v>
          </cell>
        </row>
        <row r="1084">
          <cell r="C1084" t="str">
            <v>1172A</v>
          </cell>
          <cell r="K1084">
            <v>44775</v>
          </cell>
        </row>
        <row r="1085">
          <cell r="C1085">
            <v>37531</v>
          </cell>
          <cell r="K1085">
            <v>44776</v>
          </cell>
        </row>
        <row r="1086">
          <cell r="C1086" t="str">
            <v>1172A</v>
          </cell>
          <cell r="K1086">
            <v>44776</v>
          </cell>
        </row>
        <row r="1087">
          <cell r="C1087" t="str">
            <v>3752A3</v>
          </cell>
          <cell r="K1087">
            <v>44776</v>
          </cell>
        </row>
        <row r="1088">
          <cell r="C1088" t="str">
            <v>1111D1</v>
          </cell>
          <cell r="K1088">
            <v>44777</v>
          </cell>
        </row>
        <row r="1089">
          <cell r="C1089" t="str">
            <v>37540B</v>
          </cell>
          <cell r="K1089">
            <v>44778</v>
          </cell>
        </row>
        <row r="1090">
          <cell r="C1090" t="str">
            <v>1172A</v>
          </cell>
          <cell r="K1090">
            <v>44778</v>
          </cell>
        </row>
        <row r="1091">
          <cell r="C1091">
            <v>37518</v>
          </cell>
          <cell r="K1091">
            <v>44778</v>
          </cell>
        </row>
        <row r="1092">
          <cell r="C1092" t="str">
            <v>5111A</v>
          </cell>
          <cell r="K1092">
            <v>44778</v>
          </cell>
        </row>
        <row r="1093">
          <cell r="C1093">
            <v>3192</v>
          </cell>
          <cell r="K1093">
            <v>44778</v>
          </cell>
        </row>
        <row r="1094">
          <cell r="C1094">
            <v>3751</v>
          </cell>
          <cell r="K1094">
            <v>44778</v>
          </cell>
        </row>
        <row r="1095">
          <cell r="C1095">
            <v>3759</v>
          </cell>
          <cell r="K1095">
            <v>44778</v>
          </cell>
        </row>
        <row r="1096">
          <cell r="C1096">
            <v>3759</v>
          </cell>
          <cell r="K1096">
            <v>44778</v>
          </cell>
        </row>
        <row r="1097">
          <cell r="C1097">
            <v>3761</v>
          </cell>
          <cell r="K1097">
            <v>44778</v>
          </cell>
        </row>
        <row r="1098">
          <cell r="C1098">
            <v>37517</v>
          </cell>
          <cell r="K1098">
            <v>44778</v>
          </cell>
        </row>
        <row r="1099">
          <cell r="C1099" t="str">
            <v>1172A</v>
          </cell>
          <cell r="K1099">
            <v>44778</v>
          </cell>
        </row>
        <row r="1100">
          <cell r="C1100" t="str">
            <v>140C2II</v>
          </cell>
          <cell r="K1100">
            <v>44778</v>
          </cell>
        </row>
        <row r="1101">
          <cell r="C1101" t="str">
            <v>140C2II</v>
          </cell>
          <cell r="K1101">
            <v>44778</v>
          </cell>
        </row>
        <row r="1102">
          <cell r="C1102" t="str">
            <v>301B2</v>
          </cell>
          <cell r="K1102">
            <v>44778</v>
          </cell>
        </row>
        <row r="1103">
          <cell r="C1103">
            <v>393</v>
          </cell>
          <cell r="K1103">
            <v>44778</v>
          </cell>
        </row>
        <row r="1104">
          <cell r="C1104">
            <v>3922</v>
          </cell>
          <cell r="K1104">
            <v>44778</v>
          </cell>
        </row>
        <row r="1105">
          <cell r="C1105">
            <v>3939</v>
          </cell>
          <cell r="K1105">
            <v>44778</v>
          </cell>
        </row>
        <row r="1106">
          <cell r="C1106">
            <v>3939</v>
          </cell>
          <cell r="K1106">
            <v>44778</v>
          </cell>
        </row>
        <row r="1107">
          <cell r="C1107">
            <v>37517</v>
          </cell>
          <cell r="K1107">
            <v>44778</v>
          </cell>
        </row>
        <row r="1108">
          <cell r="C1108">
            <v>39311</v>
          </cell>
          <cell r="K1108">
            <v>44778</v>
          </cell>
        </row>
        <row r="1109">
          <cell r="C1109">
            <v>39341</v>
          </cell>
          <cell r="K1109">
            <v>44778</v>
          </cell>
        </row>
        <row r="1110">
          <cell r="C1110">
            <v>39343</v>
          </cell>
          <cell r="K1110">
            <v>44778</v>
          </cell>
        </row>
        <row r="1111">
          <cell r="C1111">
            <v>39370</v>
          </cell>
          <cell r="K1111">
            <v>44778</v>
          </cell>
        </row>
        <row r="1112">
          <cell r="C1112">
            <v>39371</v>
          </cell>
          <cell r="K1112">
            <v>44778</v>
          </cell>
        </row>
        <row r="1113">
          <cell r="C1113">
            <v>39375</v>
          </cell>
          <cell r="K1113">
            <v>44778</v>
          </cell>
        </row>
        <row r="1114">
          <cell r="C1114">
            <v>39378</v>
          </cell>
          <cell r="K1114">
            <v>44778</v>
          </cell>
        </row>
        <row r="1115">
          <cell r="C1115">
            <v>39378</v>
          </cell>
          <cell r="K1115">
            <v>44778</v>
          </cell>
        </row>
        <row r="1116">
          <cell r="C1116">
            <v>39378</v>
          </cell>
          <cell r="K1116">
            <v>44778</v>
          </cell>
        </row>
        <row r="1117">
          <cell r="C1117">
            <v>39395</v>
          </cell>
          <cell r="K1117">
            <v>44778</v>
          </cell>
        </row>
        <row r="1118">
          <cell r="C1118">
            <v>39395</v>
          </cell>
          <cell r="K1118">
            <v>44778</v>
          </cell>
        </row>
        <row r="1119">
          <cell r="C1119">
            <v>39617</v>
          </cell>
          <cell r="K1119">
            <v>44778</v>
          </cell>
        </row>
        <row r="1120">
          <cell r="C1120" t="str">
            <v>140C2II</v>
          </cell>
          <cell r="K1120">
            <v>44778</v>
          </cell>
        </row>
        <row r="1121">
          <cell r="C1121" t="str">
            <v>375-1</v>
          </cell>
          <cell r="K1121">
            <v>44778</v>
          </cell>
        </row>
        <row r="1122">
          <cell r="C1122" t="str">
            <v>3752A4</v>
          </cell>
          <cell r="K1122">
            <v>44778</v>
          </cell>
        </row>
        <row r="1123">
          <cell r="C1123" t="str">
            <v>375-9</v>
          </cell>
          <cell r="K1123">
            <v>44778</v>
          </cell>
        </row>
        <row r="1124">
          <cell r="C1124" t="str">
            <v>375-A3</v>
          </cell>
          <cell r="K1124">
            <v>44778</v>
          </cell>
        </row>
        <row r="1125">
          <cell r="C1125" t="str">
            <v>376-1</v>
          </cell>
          <cell r="K1125">
            <v>44778</v>
          </cell>
        </row>
        <row r="1126">
          <cell r="C1126" t="str">
            <v>376-1</v>
          </cell>
          <cell r="K1126">
            <v>44778</v>
          </cell>
        </row>
        <row r="1127">
          <cell r="C1127" t="str">
            <v>376-1</v>
          </cell>
          <cell r="K1127">
            <v>44778</v>
          </cell>
        </row>
        <row r="1128">
          <cell r="C1128" t="str">
            <v>380-A1</v>
          </cell>
          <cell r="K1128">
            <v>44778</v>
          </cell>
        </row>
        <row r="1129">
          <cell r="C1129" t="str">
            <v>388A1</v>
          </cell>
          <cell r="K1129">
            <v>44778</v>
          </cell>
        </row>
        <row r="1130">
          <cell r="C1130" t="str">
            <v>390-19A1</v>
          </cell>
          <cell r="K1130">
            <v>44778</v>
          </cell>
        </row>
        <row r="1131">
          <cell r="C1131" t="str">
            <v>390-21A</v>
          </cell>
          <cell r="K1131">
            <v>44778</v>
          </cell>
        </row>
        <row r="1132">
          <cell r="C1132" t="str">
            <v>3902ITB</v>
          </cell>
          <cell r="K1132">
            <v>44778</v>
          </cell>
        </row>
        <row r="1133">
          <cell r="C1133" t="str">
            <v>39111B5</v>
          </cell>
          <cell r="K1133">
            <v>44778</v>
          </cell>
        </row>
        <row r="1134">
          <cell r="C1134" t="str">
            <v>391-15A</v>
          </cell>
          <cell r="K1134">
            <v>44778</v>
          </cell>
        </row>
        <row r="1135">
          <cell r="C1135" t="str">
            <v>39141A1</v>
          </cell>
          <cell r="K1135">
            <v>44778</v>
          </cell>
        </row>
        <row r="1136">
          <cell r="C1136" t="str">
            <v>39141A1</v>
          </cell>
          <cell r="K1136">
            <v>44778</v>
          </cell>
        </row>
        <row r="1137">
          <cell r="C1137" t="str">
            <v>391-41A1</v>
          </cell>
          <cell r="K1137">
            <v>44778</v>
          </cell>
        </row>
        <row r="1138">
          <cell r="C1138" t="str">
            <v>391-41A1</v>
          </cell>
          <cell r="K1138">
            <v>44778</v>
          </cell>
        </row>
        <row r="1139">
          <cell r="C1139" t="str">
            <v>392-2MI</v>
          </cell>
          <cell r="K1139">
            <v>44778</v>
          </cell>
        </row>
        <row r="1140">
          <cell r="C1140" t="str">
            <v>3925A3</v>
          </cell>
          <cell r="K1140">
            <v>44778</v>
          </cell>
        </row>
        <row r="1141">
          <cell r="C1141" t="str">
            <v>3929BA</v>
          </cell>
          <cell r="K1141">
            <v>44778</v>
          </cell>
        </row>
        <row r="1142">
          <cell r="C1142" t="str">
            <v>3929BA</v>
          </cell>
          <cell r="K1142">
            <v>44778</v>
          </cell>
        </row>
        <row r="1143">
          <cell r="C1143" t="str">
            <v>393100B</v>
          </cell>
          <cell r="K1143">
            <v>44778</v>
          </cell>
        </row>
        <row r="1144">
          <cell r="C1144" t="str">
            <v>393100B</v>
          </cell>
          <cell r="K1144">
            <v>44778</v>
          </cell>
        </row>
        <row r="1145">
          <cell r="C1145" t="str">
            <v>393-11</v>
          </cell>
          <cell r="K1145">
            <v>44778</v>
          </cell>
        </row>
        <row r="1146">
          <cell r="C1146" t="str">
            <v>393-11</v>
          </cell>
          <cell r="K1146">
            <v>44778</v>
          </cell>
        </row>
        <row r="1147">
          <cell r="C1147" t="str">
            <v>393-11</v>
          </cell>
          <cell r="K1147">
            <v>44778</v>
          </cell>
        </row>
        <row r="1148">
          <cell r="C1148" t="str">
            <v>393-11</v>
          </cell>
          <cell r="K1148">
            <v>44778</v>
          </cell>
        </row>
        <row r="1149">
          <cell r="C1149" t="str">
            <v>393-209D</v>
          </cell>
          <cell r="K1149">
            <v>44778</v>
          </cell>
        </row>
        <row r="1150">
          <cell r="C1150" t="str">
            <v>39343D</v>
          </cell>
          <cell r="K1150">
            <v>44778</v>
          </cell>
        </row>
        <row r="1151">
          <cell r="C1151" t="str">
            <v>393-55B</v>
          </cell>
          <cell r="K1151">
            <v>44778</v>
          </cell>
        </row>
        <row r="1152">
          <cell r="C1152" t="str">
            <v>3935F</v>
          </cell>
          <cell r="K1152">
            <v>44778</v>
          </cell>
        </row>
        <row r="1153">
          <cell r="C1153" t="str">
            <v>393-6OD</v>
          </cell>
          <cell r="K1153">
            <v>44778</v>
          </cell>
        </row>
        <row r="1154">
          <cell r="C1154" t="str">
            <v>39370A</v>
          </cell>
          <cell r="K1154">
            <v>44778</v>
          </cell>
        </row>
        <row r="1155">
          <cell r="C1155" t="str">
            <v>39370C</v>
          </cell>
          <cell r="K1155">
            <v>44778</v>
          </cell>
        </row>
        <row r="1156">
          <cell r="C1156" t="str">
            <v>393-75C</v>
          </cell>
          <cell r="K1156">
            <v>44778</v>
          </cell>
        </row>
        <row r="1157">
          <cell r="C1157" t="str">
            <v>393-75C</v>
          </cell>
          <cell r="K1157">
            <v>44778</v>
          </cell>
        </row>
        <row r="1158">
          <cell r="C1158" t="str">
            <v>393-78</v>
          </cell>
          <cell r="K1158">
            <v>44778</v>
          </cell>
        </row>
        <row r="1159">
          <cell r="C1159" t="str">
            <v>393-78</v>
          </cell>
          <cell r="K1159">
            <v>44778</v>
          </cell>
        </row>
        <row r="1160">
          <cell r="C1160" t="str">
            <v>393-80</v>
          </cell>
          <cell r="K1160">
            <v>44778</v>
          </cell>
        </row>
        <row r="1161">
          <cell r="C1161" t="str">
            <v>3939A</v>
          </cell>
          <cell r="K1161">
            <v>44778</v>
          </cell>
        </row>
        <row r="1162">
          <cell r="C1162" t="str">
            <v>3939A</v>
          </cell>
          <cell r="K1162">
            <v>44778</v>
          </cell>
        </row>
        <row r="1163">
          <cell r="C1163" t="str">
            <v>3939A</v>
          </cell>
          <cell r="K1163">
            <v>44778</v>
          </cell>
        </row>
        <row r="1164">
          <cell r="C1164" t="str">
            <v>3939A</v>
          </cell>
          <cell r="K1164">
            <v>44778</v>
          </cell>
        </row>
        <row r="1165">
          <cell r="C1165" t="str">
            <v>3939A</v>
          </cell>
          <cell r="K1165">
            <v>44778</v>
          </cell>
        </row>
        <row r="1166">
          <cell r="C1166" t="str">
            <v>3939A</v>
          </cell>
          <cell r="K1166">
            <v>44778</v>
          </cell>
        </row>
        <row r="1167">
          <cell r="C1167" t="str">
            <v>3939A</v>
          </cell>
          <cell r="K1167">
            <v>44778</v>
          </cell>
        </row>
        <row r="1168">
          <cell r="C1168" t="str">
            <v>3939A</v>
          </cell>
          <cell r="K1168">
            <v>44778</v>
          </cell>
        </row>
        <row r="1169">
          <cell r="C1169" t="str">
            <v>39617C</v>
          </cell>
          <cell r="K1169">
            <v>44778</v>
          </cell>
        </row>
        <row r="1170">
          <cell r="C1170" t="str">
            <v>39617C</v>
          </cell>
          <cell r="K1170">
            <v>44778</v>
          </cell>
        </row>
        <row r="1171">
          <cell r="C1171" t="str">
            <v>3963A1</v>
          </cell>
          <cell r="K1171">
            <v>44778</v>
          </cell>
        </row>
        <row r="1172">
          <cell r="C1172" t="str">
            <v>396-3A1</v>
          </cell>
          <cell r="K1172">
            <v>44778</v>
          </cell>
        </row>
        <row r="1173">
          <cell r="C1173" t="str">
            <v>396D2</v>
          </cell>
          <cell r="K1173">
            <v>44778</v>
          </cell>
        </row>
        <row r="1174">
          <cell r="C1174" t="str">
            <v>396D2</v>
          </cell>
          <cell r="K1174">
            <v>44778</v>
          </cell>
        </row>
        <row r="1175">
          <cell r="C1175" t="str">
            <v>401-4</v>
          </cell>
          <cell r="K1175">
            <v>44778</v>
          </cell>
        </row>
        <row r="1176">
          <cell r="C1176" t="str">
            <v>1172A</v>
          </cell>
          <cell r="K1176">
            <v>44779</v>
          </cell>
        </row>
        <row r="1177">
          <cell r="C1177" t="str">
            <v>1110A</v>
          </cell>
          <cell r="K1177">
            <v>44779</v>
          </cell>
        </row>
        <row r="1178">
          <cell r="C1178" t="str">
            <v>1172A</v>
          </cell>
          <cell r="K1178">
            <v>44780</v>
          </cell>
        </row>
        <row r="1179">
          <cell r="C1179" t="str">
            <v>3752A1</v>
          </cell>
          <cell r="K1179">
            <v>44780</v>
          </cell>
        </row>
        <row r="1180">
          <cell r="C1180" t="str">
            <v>1172A</v>
          </cell>
          <cell r="K1180">
            <v>44780</v>
          </cell>
        </row>
        <row r="1181">
          <cell r="C1181" t="str">
            <v>1172A</v>
          </cell>
          <cell r="K1181">
            <v>44783</v>
          </cell>
        </row>
        <row r="1182">
          <cell r="C1182" t="str">
            <v>1127A</v>
          </cell>
          <cell r="K1182">
            <v>44783</v>
          </cell>
        </row>
        <row r="1183">
          <cell r="C1183" t="str">
            <v>1172A</v>
          </cell>
          <cell r="K1183">
            <v>44783</v>
          </cell>
        </row>
        <row r="1184">
          <cell r="C1184" t="str">
            <v>1172A</v>
          </cell>
          <cell r="K1184">
            <v>44783</v>
          </cell>
        </row>
        <row r="1185">
          <cell r="C1185" t="str">
            <v>1172A</v>
          </cell>
          <cell r="K1185">
            <v>44783</v>
          </cell>
        </row>
        <row r="1186">
          <cell r="C1186" t="str">
            <v>1172A</v>
          </cell>
          <cell r="K1186">
            <v>44783</v>
          </cell>
        </row>
        <row r="1187">
          <cell r="C1187" t="str">
            <v>1172A</v>
          </cell>
          <cell r="K1187">
            <v>44783</v>
          </cell>
        </row>
        <row r="1188">
          <cell r="C1188" t="str">
            <v>1172A</v>
          </cell>
          <cell r="K1188">
            <v>44783</v>
          </cell>
        </row>
        <row r="1189">
          <cell r="C1189">
            <v>5091</v>
          </cell>
          <cell r="K1189">
            <v>44783</v>
          </cell>
        </row>
        <row r="1190">
          <cell r="C1190">
            <v>11923</v>
          </cell>
          <cell r="K1190">
            <v>44783</v>
          </cell>
        </row>
        <row r="1191">
          <cell r="C1191">
            <v>11924</v>
          </cell>
          <cell r="K1191">
            <v>44783</v>
          </cell>
        </row>
        <row r="1192">
          <cell r="C1192">
            <v>22641</v>
          </cell>
          <cell r="K1192">
            <v>44783</v>
          </cell>
        </row>
        <row r="1193">
          <cell r="C1193">
            <v>22653</v>
          </cell>
          <cell r="K1193">
            <v>44783</v>
          </cell>
        </row>
        <row r="1194">
          <cell r="C1194" t="str">
            <v>24041A</v>
          </cell>
          <cell r="K1194">
            <v>44783</v>
          </cell>
        </row>
        <row r="1195">
          <cell r="C1195">
            <v>4021</v>
          </cell>
          <cell r="K1195">
            <v>44784</v>
          </cell>
        </row>
        <row r="1196">
          <cell r="C1196">
            <v>4021</v>
          </cell>
          <cell r="K1196">
            <v>44784</v>
          </cell>
        </row>
        <row r="1197">
          <cell r="C1197" t="str">
            <v>306B</v>
          </cell>
          <cell r="K1197">
            <v>44784</v>
          </cell>
        </row>
        <row r="1198">
          <cell r="C1198" t="str">
            <v>3191U</v>
          </cell>
          <cell r="K1198">
            <v>44784</v>
          </cell>
        </row>
        <row r="1199">
          <cell r="C1199" t="str">
            <v>1172A</v>
          </cell>
          <cell r="K1199">
            <v>44784</v>
          </cell>
        </row>
        <row r="1200">
          <cell r="C1200" t="str">
            <v>3191U</v>
          </cell>
          <cell r="K1200">
            <v>44784</v>
          </cell>
        </row>
        <row r="1201">
          <cell r="C1201" t="str">
            <v>1172A</v>
          </cell>
          <cell r="K1201">
            <v>44785</v>
          </cell>
        </row>
        <row r="1202">
          <cell r="C1202" t="str">
            <v>1172A</v>
          </cell>
          <cell r="K1202">
            <v>44785</v>
          </cell>
        </row>
        <row r="1203">
          <cell r="C1203">
            <v>11922</v>
          </cell>
          <cell r="K1203">
            <v>44785</v>
          </cell>
        </row>
        <row r="1204">
          <cell r="C1204" t="str">
            <v>6001A</v>
          </cell>
          <cell r="K1204">
            <v>44785</v>
          </cell>
        </row>
        <row r="1205">
          <cell r="C1205" t="str">
            <v>1172A</v>
          </cell>
          <cell r="K1205">
            <v>44786</v>
          </cell>
        </row>
        <row r="1206">
          <cell r="C1206">
            <v>4021</v>
          </cell>
          <cell r="K1206">
            <v>44786</v>
          </cell>
        </row>
        <row r="1207">
          <cell r="C1207" t="str">
            <v>1163D</v>
          </cell>
          <cell r="K1207">
            <v>44786</v>
          </cell>
        </row>
        <row r="1208">
          <cell r="C1208" t="str">
            <v>1210A</v>
          </cell>
          <cell r="K1208">
            <v>44787</v>
          </cell>
        </row>
        <row r="1209">
          <cell r="C1209" t="str">
            <v>4011A</v>
          </cell>
          <cell r="K1209">
            <v>44788</v>
          </cell>
        </row>
        <row r="1210">
          <cell r="C1210">
            <v>4021</v>
          </cell>
          <cell r="K1210">
            <v>44789</v>
          </cell>
        </row>
        <row r="1211">
          <cell r="C1211" t="str">
            <v>1110A</v>
          </cell>
          <cell r="K1211">
            <v>44789</v>
          </cell>
        </row>
        <row r="1212">
          <cell r="C1212" t="str">
            <v>3752A1</v>
          </cell>
          <cell r="K1212">
            <v>44789</v>
          </cell>
        </row>
        <row r="1213">
          <cell r="C1213" t="str">
            <v>37540B</v>
          </cell>
          <cell r="K1213">
            <v>44789</v>
          </cell>
        </row>
        <row r="1214">
          <cell r="C1214">
            <v>4021</v>
          </cell>
          <cell r="K1214">
            <v>44789</v>
          </cell>
        </row>
        <row r="1215">
          <cell r="C1215" t="str">
            <v>4011A</v>
          </cell>
          <cell r="K1215">
            <v>44789</v>
          </cell>
        </row>
        <row r="1216">
          <cell r="C1216" t="str">
            <v>1172A</v>
          </cell>
          <cell r="K1216">
            <v>44790</v>
          </cell>
        </row>
        <row r="1217">
          <cell r="C1217">
            <v>512</v>
          </cell>
          <cell r="K1217">
            <v>44790</v>
          </cell>
        </row>
        <row r="1218">
          <cell r="C1218">
            <v>512</v>
          </cell>
          <cell r="K1218">
            <v>44790</v>
          </cell>
        </row>
        <row r="1219">
          <cell r="C1219" t="str">
            <v>306B</v>
          </cell>
          <cell r="K1219">
            <v>44790</v>
          </cell>
        </row>
        <row r="1220">
          <cell r="C1220">
            <v>4021</v>
          </cell>
          <cell r="K1220">
            <v>44791</v>
          </cell>
        </row>
        <row r="1221">
          <cell r="C1221" t="str">
            <v>1172A</v>
          </cell>
          <cell r="K1221">
            <v>44791</v>
          </cell>
        </row>
        <row r="1222">
          <cell r="C1222" t="str">
            <v>1172A</v>
          </cell>
          <cell r="K1222">
            <v>44791</v>
          </cell>
        </row>
        <row r="1223">
          <cell r="C1223">
            <v>3192</v>
          </cell>
          <cell r="K1223">
            <v>44791</v>
          </cell>
        </row>
        <row r="1224">
          <cell r="C1224" t="str">
            <v>1110A</v>
          </cell>
          <cell r="K1224">
            <v>44791</v>
          </cell>
        </row>
        <row r="1225">
          <cell r="C1225" t="str">
            <v>37540B</v>
          </cell>
          <cell r="K1225">
            <v>44791</v>
          </cell>
        </row>
        <row r="1226">
          <cell r="C1226" t="str">
            <v>1172A</v>
          </cell>
          <cell r="K1226">
            <v>44792</v>
          </cell>
        </row>
        <row r="1227">
          <cell r="C1227" t="str">
            <v>1172A</v>
          </cell>
          <cell r="K1227">
            <v>44792</v>
          </cell>
        </row>
        <row r="1228">
          <cell r="C1228" t="str">
            <v>1172A</v>
          </cell>
          <cell r="K1228">
            <v>44795</v>
          </cell>
        </row>
        <row r="1229">
          <cell r="C1229" t="str">
            <v>37512AB2</v>
          </cell>
          <cell r="K1229">
            <v>44795</v>
          </cell>
        </row>
        <row r="1230">
          <cell r="C1230" t="str">
            <v>306B</v>
          </cell>
          <cell r="K1230">
            <v>44795</v>
          </cell>
        </row>
        <row r="1231">
          <cell r="C1231" t="str">
            <v>1225C2A</v>
          </cell>
          <cell r="K1231">
            <v>44796</v>
          </cell>
        </row>
        <row r="1232">
          <cell r="C1232" t="str">
            <v>1110A</v>
          </cell>
          <cell r="K1232">
            <v>44796</v>
          </cell>
        </row>
        <row r="1233">
          <cell r="C1233" t="str">
            <v>1172A</v>
          </cell>
          <cell r="K1233">
            <v>44796</v>
          </cell>
        </row>
        <row r="1234">
          <cell r="C1234" t="str">
            <v>1172A</v>
          </cell>
          <cell r="K1234">
            <v>44796</v>
          </cell>
        </row>
        <row r="1235">
          <cell r="C1235" t="str">
            <v>1172A</v>
          </cell>
          <cell r="K1235">
            <v>44796</v>
          </cell>
        </row>
        <row r="1236">
          <cell r="C1236" t="str">
            <v>1172A</v>
          </cell>
          <cell r="K1236">
            <v>44796</v>
          </cell>
        </row>
        <row r="1237">
          <cell r="C1237" t="str">
            <v>1172A</v>
          </cell>
          <cell r="K1237">
            <v>44797</v>
          </cell>
        </row>
        <row r="1238">
          <cell r="C1238">
            <v>512</v>
          </cell>
          <cell r="K1238">
            <v>44797</v>
          </cell>
        </row>
        <row r="1239">
          <cell r="C1239" t="str">
            <v>3752A1</v>
          </cell>
          <cell r="K1239">
            <v>44797</v>
          </cell>
        </row>
        <row r="1240">
          <cell r="C1240" t="str">
            <v>37540B</v>
          </cell>
          <cell r="K1240">
            <v>44797</v>
          </cell>
        </row>
        <row r="1241">
          <cell r="C1241" t="str">
            <v>5111A</v>
          </cell>
          <cell r="K1241">
            <v>44797</v>
          </cell>
        </row>
        <row r="1242">
          <cell r="C1242" t="str">
            <v>1172A</v>
          </cell>
          <cell r="K1242">
            <v>44797</v>
          </cell>
        </row>
        <row r="1243">
          <cell r="C1243" t="str">
            <v>1172A</v>
          </cell>
          <cell r="K1243">
            <v>44797</v>
          </cell>
        </row>
        <row r="1244">
          <cell r="C1244" t="str">
            <v>1172A</v>
          </cell>
          <cell r="K1244">
            <v>44797</v>
          </cell>
        </row>
        <row r="1245">
          <cell r="C1245" t="str">
            <v>5111A</v>
          </cell>
          <cell r="K1245">
            <v>44797</v>
          </cell>
        </row>
        <row r="1246">
          <cell r="C1246" t="str">
            <v>3191U</v>
          </cell>
          <cell r="K1246">
            <v>44797</v>
          </cell>
        </row>
        <row r="1247">
          <cell r="C1247">
            <v>4021</v>
          </cell>
          <cell r="K1247">
            <v>44798</v>
          </cell>
        </row>
        <row r="1248">
          <cell r="C1248" t="str">
            <v>1172A</v>
          </cell>
          <cell r="K1248">
            <v>44798</v>
          </cell>
        </row>
        <row r="1249">
          <cell r="C1249" t="str">
            <v>1172A</v>
          </cell>
          <cell r="K1249">
            <v>44798</v>
          </cell>
        </row>
        <row r="1250">
          <cell r="C1250" t="str">
            <v>1172A</v>
          </cell>
          <cell r="K1250">
            <v>44798</v>
          </cell>
        </row>
        <row r="1251">
          <cell r="C1251" t="str">
            <v>1172A</v>
          </cell>
          <cell r="K1251">
            <v>44798</v>
          </cell>
        </row>
        <row r="1252">
          <cell r="C1252" t="str">
            <v>1172A</v>
          </cell>
          <cell r="K1252">
            <v>44798</v>
          </cell>
        </row>
        <row r="1253">
          <cell r="C1253" t="str">
            <v>1172A</v>
          </cell>
          <cell r="K1253">
            <v>44798</v>
          </cell>
        </row>
        <row r="1254">
          <cell r="C1254" t="str">
            <v>306B</v>
          </cell>
          <cell r="K1254">
            <v>44798</v>
          </cell>
        </row>
        <row r="1255">
          <cell r="C1255" t="str">
            <v>1172A</v>
          </cell>
          <cell r="K1255">
            <v>44799</v>
          </cell>
        </row>
        <row r="1256">
          <cell r="C1256">
            <v>37531</v>
          </cell>
          <cell r="K1256">
            <v>44800</v>
          </cell>
        </row>
        <row r="1257">
          <cell r="C1257" t="str">
            <v>1172A</v>
          </cell>
          <cell r="K1257">
            <v>44800</v>
          </cell>
        </row>
        <row r="1258">
          <cell r="C1258" t="str">
            <v>3191U</v>
          </cell>
          <cell r="K1258">
            <v>44800</v>
          </cell>
        </row>
        <row r="1259">
          <cell r="C1259">
            <v>512</v>
          </cell>
          <cell r="K1259">
            <v>44800</v>
          </cell>
        </row>
        <row r="1260">
          <cell r="C1260" t="str">
            <v>1172A</v>
          </cell>
          <cell r="K1260">
            <v>44800</v>
          </cell>
        </row>
        <row r="1261">
          <cell r="C1261" t="str">
            <v>3191U</v>
          </cell>
          <cell r="K1261">
            <v>44800</v>
          </cell>
        </row>
        <row r="1262">
          <cell r="C1262" t="str">
            <v>1172A</v>
          </cell>
          <cell r="K1262">
            <v>44801</v>
          </cell>
        </row>
        <row r="1263">
          <cell r="C1263" t="str">
            <v>1111D1</v>
          </cell>
          <cell r="K1263">
            <v>44801</v>
          </cell>
        </row>
        <row r="1264">
          <cell r="C1264">
            <v>3192</v>
          </cell>
          <cell r="K1264">
            <v>44801</v>
          </cell>
        </row>
        <row r="1265">
          <cell r="C1265" t="str">
            <v>1172A</v>
          </cell>
          <cell r="K1265">
            <v>44802</v>
          </cell>
        </row>
        <row r="1266">
          <cell r="C1266" t="str">
            <v>1225D</v>
          </cell>
          <cell r="K1266">
            <v>44802</v>
          </cell>
        </row>
        <row r="1267">
          <cell r="C1267">
            <v>3192</v>
          </cell>
          <cell r="K1267">
            <v>44802</v>
          </cell>
        </row>
        <row r="1268">
          <cell r="C1268" t="str">
            <v>1172A</v>
          </cell>
          <cell r="K1268">
            <v>44802</v>
          </cell>
        </row>
        <row r="1269">
          <cell r="C1269" t="str">
            <v>37540B</v>
          </cell>
          <cell r="K1269">
            <v>44802</v>
          </cell>
        </row>
        <row r="1270">
          <cell r="C1270">
            <v>3751</v>
          </cell>
          <cell r="K1270">
            <v>44802</v>
          </cell>
        </row>
        <row r="1271">
          <cell r="C1271">
            <v>3759</v>
          </cell>
          <cell r="K1271">
            <v>44802</v>
          </cell>
        </row>
        <row r="1272">
          <cell r="C1272">
            <v>3759</v>
          </cell>
          <cell r="K1272">
            <v>44802</v>
          </cell>
        </row>
        <row r="1273">
          <cell r="C1273">
            <v>37517</v>
          </cell>
          <cell r="K1273">
            <v>44802</v>
          </cell>
        </row>
        <row r="1274">
          <cell r="C1274">
            <v>37517</v>
          </cell>
          <cell r="K1274">
            <v>44802</v>
          </cell>
        </row>
        <row r="1275">
          <cell r="C1275" t="str">
            <v>1402CII</v>
          </cell>
          <cell r="K1275">
            <v>44802</v>
          </cell>
        </row>
        <row r="1276">
          <cell r="C1276" t="str">
            <v>1402CII</v>
          </cell>
          <cell r="K1276">
            <v>44802</v>
          </cell>
        </row>
        <row r="1277">
          <cell r="C1277" t="str">
            <v>1402CII</v>
          </cell>
          <cell r="K1277">
            <v>44802</v>
          </cell>
        </row>
        <row r="1278">
          <cell r="C1278" t="str">
            <v>1402CII</v>
          </cell>
          <cell r="K1278">
            <v>44802</v>
          </cell>
        </row>
        <row r="1279">
          <cell r="C1279" t="str">
            <v>1402CII</v>
          </cell>
          <cell r="K1279">
            <v>44802</v>
          </cell>
        </row>
        <row r="1280">
          <cell r="C1280" t="str">
            <v>140C2II</v>
          </cell>
          <cell r="K1280">
            <v>44802</v>
          </cell>
        </row>
        <row r="1281">
          <cell r="C1281" t="str">
            <v>140C2II</v>
          </cell>
          <cell r="K1281">
            <v>44802</v>
          </cell>
        </row>
        <row r="1282">
          <cell r="C1282" t="str">
            <v>140C2II</v>
          </cell>
          <cell r="K1282">
            <v>44802</v>
          </cell>
        </row>
        <row r="1283">
          <cell r="C1283" t="str">
            <v>140C2II</v>
          </cell>
          <cell r="K1283">
            <v>44802</v>
          </cell>
        </row>
        <row r="1284">
          <cell r="C1284" t="str">
            <v>1815A1</v>
          </cell>
          <cell r="K1284">
            <v>44802</v>
          </cell>
        </row>
        <row r="1285">
          <cell r="C1285" t="str">
            <v>306B</v>
          </cell>
          <cell r="K1285">
            <v>44802</v>
          </cell>
        </row>
        <row r="1286">
          <cell r="C1286" t="str">
            <v>375-40D</v>
          </cell>
          <cell r="K1286">
            <v>44802</v>
          </cell>
        </row>
        <row r="1287">
          <cell r="C1287" t="str">
            <v>375-9</v>
          </cell>
          <cell r="K1287">
            <v>44802</v>
          </cell>
        </row>
        <row r="1288">
          <cell r="C1288" t="str">
            <v>376-1</v>
          </cell>
          <cell r="K1288">
            <v>44802</v>
          </cell>
        </row>
        <row r="1289">
          <cell r="C1289" t="str">
            <v>376-1</v>
          </cell>
          <cell r="K1289">
            <v>44802</v>
          </cell>
        </row>
        <row r="1290">
          <cell r="C1290" t="str">
            <v>376-1</v>
          </cell>
          <cell r="K1290">
            <v>44802</v>
          </cell>
        </row>
        <row r="1291">
          <cell r="C1291" t="str">
            <v>376-1</v>
          </cell>
          <cell r="K1291">
            <v>44802</v>
          </cell>
        </row>
        <row r="1292">
          <cell r="C1292" t="str">
            <v>3761A</v>
          </cell>
          <cell r="K1292">
            <v>44802</v>
          </cell>
        </row>
        <row r="1293">
          <cell r="C1293" t="str">
            <v>3761A</v>
          </cell>
          <cell r="K1293">
            <v>44802</v>
          </cell>
        </row>
        <row r="1294">
          <cell r="C1294" t="str">
            <v>3761A</v>
          </cell>
          <cell r="K1294">
            <v>44802</v>
          </cell>
        </row>
        <row r="1295">
          <cell r="C1295" t="str">
            <v>3761A</v>
          </cell>
          <cell r="K1295">
            <v>44802</v>
          </cell>
        </row>
        <row r="1296">
          <cell r="C1296" t="str">
            <v>3761A</v>
          </cell>
          <cell r="K1296">
            <v>44802</v>
          </cell>
        </row>
        <row r="1297">
          <cell r="C1297" t="str">
            <v>3761A</v>
          </cell>
          <cell r="K1297">
            <v>44802</v>
          </cell>
        </row>
        <row r="1298">
          <cell r="C1298" t="str">
            <v>3761A</v>
          </cell>
          <cell r="K1298">
            <v>44802</v>
          </cell>
        </row>
        <row r="1299">
          <cell r="C1299" t="str">
            <v>401-1</v>
          </cell>
          <cell r="K1299">
            <v>44802</v>
          </cell>
        </row>
        <row r="1300">
          <cell r="C1300" t="str">
            <v>401-40</v>
          </cell>
          <cell r="K1300">
            <v>44802</v>
          </cell>
        </row>
        <row r="1301">
          <cell r="C1301" t="str">
            <v>5111A</v>
          </cell>
          <cell r="K1301">
            <v>44802</v>
          </cell>
        </row>
        <row r="1302">
          <cell r="C1302">
            <v>4021</v>
          </cell>
          <cell r="K1302">
            <v>44803</v>
          </cell>
        </row>
        <row r="1303">
          <cell r="C1303" t="str">
            <v>375-40B</v>
          </cell>
          <cell r="K1303">
            <v>44803</v>
          </cell>
        </row>
        <row r="1304">
          <cell r="C1304">
            <v>512</v>
          </cell>
          <cell r="K1304">
            <v>44803</v>
          </cell>
        </row>
        <row r="1305">
          <cell r="C1305" t="str">
            <v>37540B</v>
          </cell>
          <cell r="K1305">
            <v>44803</v>
          </cell>
        </row>
        <row r="1306">
          <cell r="C1306" t="str">
            <v>1172A</v>
          </cell>
          <cell r="K1306">
            <v>44804</v>
          </cell>
        </row>
        <row r="1307">
          <cell r="C1307" t="str">
            <v>1127A</v>
          </cell>
          <cell r="K1307">
            <v>44804</v>
          </cell>
        </row>
        <row r="1308">
          <cell r="C1308" t="str">
            <v>1111D1</v>
          </cell>
          <cell r="K1308">
            <v>44808</v>
          </cell>
        </row>
        <row r="1309">
          <cell r="C1309" t="str">
            <v>1110A</v>
          </cell>
          <cell r="K1309">
            <v>44808</v>
          </cell>
        </row>
        <row r="1310">
          <cell r="C1310" t="str">
            <v>3752A1</v>
          </cell>
          <cell r="K1310">
            <v>44808</v>
          </cell>
        </row>
        <row r="1311">
          <cell r="C1311" t="str">
            <v>1172A</v>
          </cell>
          <cell r="K1311">
            <v>44808</v>
          </cell>
        </row>
        <row r="1312">
          <cell r="C1312" t="str">
            <v>3191U</v>
          </cell>
          <cell r="K1312">
            <v>44808</v>
          </cell>
        </row>
        <row r="1313">
          <cell r="C1313" t="str">
            <v>1172A</v>
          </cell>
          <cell r="K1313">
            <v>44809</v>
          </cell>
        </row>
        <row r="1314">
          <cell r="C1314" t="str">
            <v>1172A</v>
          </cell>
          <cell r="K1314">
            <v>44809</v>
          </cell>
        </row>
        <row r="1315">
          <cell r="C1315" t="str">
            <v>3191U</v>
          </cell>
          <cell r="K1315">
            <v>44809</v>
          </cell>
        </row>
        <row r="1316">
          <cell r="C1316" t="str">
            <v>1172A</v>
          </cell>
          <cell r="K1316">
            <v>44810</v>
          </cell>
        </row>
        <row r="1317">
          <cell r="C1317" t="str">
            <v>1172A</v>
          </cell>
          <cell r="K1317">
            <v>44810</v>
          </cell>
        </row>
        <row r="1318">
          <cell r="C1318" t="str">
            <v>37540B</v>
          </cell>
          <cell r="K1318">
            <v>44810</v>
          </cell>
        </row>
        <row r="1319">
          <cell r="C1319">
            <v>4021</v>
          </cell>
          <cell r="K1319">
            <v>44811</v>
          </cell>
        </row>
        <row r="1320">
          <cell r="C1320" t="str">
            <v>1172A</v>
          </cell>
          <cell r="K1320">
            <v>44811</v>
          </cell>
        </row>
        <row r="1321">
          <cell r="C1321" t="str">
            <v>37540B</v>
          </cell>
          <cell r="K1321">
            <v>44812</v>
          </cell>
        </row>
        <row r="1322">
          <cell r="C1322" t="str">
            <v>37540B</v>
          </cell>
          <cell r="K1322">
            <v>44812</v>
          </cell>
        </row>
        <row r="1323">
          <cell r="C1323" t="str">
            <v>1172A</v>
          </cell>
          <cell r="K1323">
            <v>44812</v>
          </cell>
        </row>
        <row r="1324">
          <cell r="C1324" t="str">
            <v>1122A</v>
          </cell>
          <cell r="K1324">
            <v>44813</v>
          </cell>
        </row>
        <row r="1325">
          <cell r="C1325" t="str">
            <v>1180A</v>
          </cell>
          <cell r="K1325">
            <v>44813</v>
          </cell>
        </row>
        <row r="1326">
          <cell r="C1326" t="str">
            <v>1110A</v>
          </cell>
          <cell r="K1326">
            <v>44813</v>
          </cell>
        </row>
        <row r="1327">
          <cell r="C1327">
            <v>512</v>
          </cell>
          <cell r="K1327">
            <v>44814</v>
          </cell>
        </row>
        <row r="1328">
          <cell r="C1328" t="str">
            <v>306B</v>
          </cell>
          <cell r="K1328">
            <v>44814</v>
          </cell>
        </row>
        <row r="1329">
          <cell r="C1329" t="str">
            <v>5111A</v>
          </cell>
          <cell r="K1329">
            <v>44814</v>
          </cell>
        </row>
        <row r="1330">
          <cell r="C1330">
            <v>37531</v>
          </cell>
          <cell r="K1330">
            <v>44816</v>
          </cell>
        </row>
        <row r="1331">
          <cell r="C1331" t="str">
            <v>37540B</v>
          </cell>
          <cell r="K1331">
            <v>44816</v>
          </cell>
        </row>
        <row r="1332">
          <cell r="C1332" t="str">
            <v>375-1</v>
          </cell>
          <cell r="K1332">
            <v>44816</v>
          </cell>
        </row>
        <row r="1333">
          <cell r="C1333" t="str">
            <v>1172A</v>
          </cell>
          <cell r="K1333">
            <v>44816</v>
          </cell>
        </row>
        <row r="1334">
          <cell r="C1334" t="str">
            <v>1172A</v>
          </cell>
          <cell r="K1334">
            <v>44817</v>
          </cell>
        </row>
        <row r="1335">
          <cell r="C1335">
            <v>4021</v>
          </cell>
          <cell r="K1335">
            <v>44817</v>
          </cell>
        </row>
        <row r="1336">
          <cell r="C1336">
            <v>11301</v>
          </cell>
          <cell r="K1336">
            <v>44817</v>
          </cell>
        </row>
        <row r="1337">
          <cell r="C1337" t="str">
            <v>1180C</v>
          </cell>
          <cell r="K1337">
            <v>44817</v>
          </cell>
        </row>
        <row r="1338">
          <cell r="C1338" t="str">
            <v>1180C</v>
          </cell>
          <cell r="K1338">
            <v>44817</v>
          </cell>
        </row>
        <row r="1339">
          <cell r="C1339" t="str">
            <v>1172A</v>
          </cell>
          <cell r="K1339">
            <v>44818</v>
          </cell>
        </row>
        <row r="1340">
          <cell r="C1340" t="str">
            <v/>
          </cell>
          <cell r="K1340">
            <v>44818</v>
          </cell>
        </row>
        <row r="1341">
          <cell r="C1341">
            <v>3751</v>
          </cell>
          <cell r="K1341">
            <v>44820</v>
          </cell>
        </row>
        <row r="1342">
          <cell r="C1342">
            <v>3751</v>
          </cell>
          <cell r="K1342">
            <v>44820</v>
          </cell>
        </row>
        <row r="1343">
          <cell r="C1343">
            <v>3751</v>
          </cell>
          <cell r="K1343">
            <v>44820</v>
          </cell>
        </row>
        <row r="1344">
          <cell r="C1344">
            <v>3751</v>
          </cell>
          <cell r="K1344">
            <v>44820</v>
          </cell>
        </row>
        <row r="1345">
          <cell r="C1345">
            <v>3751</v>
          </cell>
          <cell r="K1345">
            <v>44820</v>
          </cell>
        </row>
        <row r="1346">
          <cell r="C1346">
            <v>3751</v>
          </cell>
          <cell r="K1346">
            <v>44820</v>
          </cell>
        </row>
        <row r="1347">
          <cell r="C1347">
            <v>3759</v>
          </cell>
          <cell r="K1347">
            <v>44820</v>
          </cell>
        </row>
        <row r="1348">
          <cell r="C1348">
            <v>3759</v>
          </cell>
          <cell r="K1348">
            <v>44820</v>
          </cell>
        </row>
        <row r="1349">
          <cell r="C1349">
            <v>3759</v>
          </cell>
          <cell r="K1349">
            <v>44820</v>
          </cell>
        </row>
        <row r="1350">
          <cell r="C1350">
            <v>5094</v>
          </cell>
          <cell r="K1350">
            <v>44820</v>
          </cell>
        </row>
        <row r="1351">
          <cell r="C1351">
            <v>5094</v>
          </cell>
          <cell r="K1351">
            <v>44820</v>
          </cell>
        </row>
        <row r="1352">
          <cell r="C1352">
            <v>37517</v>
          </cell>
          <cell r="K1352">
            <v>44820</v>
          </cell>
        </row>
        <row r="1353">
          <cell r="C1353" t="str">
            <v>1402CII</v>
          </cell>
          <cell r="K1353">
            <v>44820</v>
          </cell>
        </row>
        <row r="1354">
          <cell r="C1354" t="str">
            <v>1402CII</v>
          </cell>
          <cell r="K1354">
            <v>44820</v>
          </cell>
        </row>
        <row r="1355">
          <cell r="C1355" t="str">
            <v>1402CII</v>
          </cell>
          <cell r="K1355">
            <v>44820</v>
          </cell>
        </row>
        <row r="1356">
          <cell r="C1356" t="str">
            <v>1402CII</v>
          </cell>
          <cell r="K1356">
            <v>44820</v>
          </cell>
        </row>
        <row r="1357">
          <cell r="C1357" t="str">
            <v>1402CII</v>
          </cell>
          <cell r="K1357">
            <v>44820</v>
          </cell>
        </row>
        <row r="1358">
          <cell r="C1358" t="str">
            <v>1402CII</v>
          </cell>
          <cell r="K1358">
            <v>44820</v>
          </cell>
        </row>
        <row r="1359">
          <cell r="C1359" t="str">
            <v>1402CII</v>
          </cell>
          <cell r="K1359">
            <v>44820</v>
          </cell>
        </row>
        <row r="1360">
          <cell r="C1360" t="str">
            <v>1402CII</v>
          </cell>
          <cell r="K1360">
            <v>44820</v>
          </cell>
        </row>
        <row r="1361">
          <cell r="C1361" t="str">
            <v>1402CII</v>
          </cell>
          <cell r="K1361">
            <v>44820</v>
          </cell>
        </row>
        <row r="1362">
          <cell r="C1362" t="str">
            <v>1402CII</v>
          </cell>
          <cell r="K1362">
            <v>44820</v>
          </cell>
        </row>
        <row r="1363">
          <cell r="C1363" t="str">
            <v>1402CII</v>
          </cell>
          <cell r="K1363">
            <v>44820</v>
          </cell>
        </row>
        <row r="1364">
          <cell r="C1364" t="str">
            <v>1402CII</v>
          </cell>
          <cell r="K1364">
            <v>44820</v>
          </cell>
        </row>
        <row r="1365">
          <cell r="C1365" t="str">
            <v>306B</v>
          </cell>
          <cell r="K1365">
            <v>44820</v>
          </cell>
        </row>
        <row r="1366">
          <cell r="C1366" t="str">
            <v>3752A</v>
          </cell>
          <cell r="K1366">
            <v>44820</v>
          </cell>
        </row>
        <row r="1367">
          <cell r="C1367" t="str">
            <v>3752A1</v>
          </cell>
          <cell r="K1367">
            <v>44820</v>
          </cell>
        </row>
        <row r="1368">
          <cell r="C1368" t="str">
            <v>37535C</v>
          </cell>
          <cell r="K1368">
            <v>44820</v>
          </cell>
        </row>
        <row r="1369">
          <cell r="C1369" t="str">
            <v>37535C</v>
          </cell>
          <cell r="K1369">
            <v>44820</v>
          </cell>
        </row>
        <row r="1370">
          <cell r="C1370" t="str">
            <v>37535C</v>
          </cell>
          <cell r="K1370">
            <v>44820</v>
          </cell>
        </row>
        <row r="1371">
          <cell r="C1371" t="str">
            <v>37535C</v>
          </cell>
          <cell r="K1371">
            <v>44820</v>
          </cell>
        </row>
        <row r="1372">
          <cell r="C1372" t="str">
            <v>37535C</v>
          </cell>
          <cell r="K1372">
            <v>44820</v>
          </cell>
        </row>
        <row r="1373">
          <cell r="C1373" t="str">
            <v>37535C</v>
          </cell>
          <cell r="K1373">
            <v>44820</v>
          </cell>
        </row>
        <row r="1374">
          <cell r="C1374" t="str">
            <v>37535C</v>
          </cell>
          <cell r="K1374">
            <v>44820</v>
          </cell>
        </row>
        <row r="1375">
          <cell r="C1375" t="str">
            <v>37535C</v>
          </cell>
          <cell r="K1375">
            <v>44820</v>
          </cell>
        </row>
        <row r="1376">
          <cell r="C1376" t="str">
            <v>37540B</v>
          </cell>
          <cell r="K1376">
            <v>44820</v>
          </cell>
        </row>
        <row r="1377">
          <cell r="C1377" t="str">
            <v>3761A</v>
          </cell>
          <cell r="K1377">
            <v>44820</v>
          </cell>
        </row>
        <row r="1378">
          <cell r="C1378" t="str">
            <v>3761A</v>
          </cell>
          <cell r="K1378">
            <v>44820</v>
          </cell>
        </row>
        <row r="1379">
          <cell r="C1379" t="str">
            <v>3761A</v>
          </cell>
          <cell r="K1379">
            <v>44820</v>
          </cell>
        </row>
        <row r="1380">
          <cell r="C1380" t="str">
            <v>3761A</v>
          </cell>
          <cell r="K1380">
            <v>44820</v>
          </cell>
        </row>
        <row r="1381">
          <cell r="C1381" t="str">
            <v>3761A</v>
          </cell>
          <cell r="K1381">
            <v>44820</v>
          </cell>
        </row>
        <row r="1382">
          <cell r="C1382" t="str">
            <v>380A</v>
          </cell>
          <cell r="K1382">
            <v>44820</v>
          </cell>
        </row>
        <row r="1383">
          <cell r="C1383" t="str">
            <v>5097A</v>
          </cell>
          <cell r="K1383">
            <v>44820</v>
          </cell>
        </row>
        <row r="1384">
          <cell r="C1384" t="str">
            <v>5097A</v>
          </cell>
          <cell r="K1384">
            <v>44820</v>
          </cell>
        </row>
        <row r="1385">
          <cell r="C1385" t="str">
            <v>5111A</v>
          </cell>
          <cell r="K1385">
            <v>44820</v>
          </cell>
        </row>
        <row r="1386">
          <cell r="C1386" t="str">
            <v>1172A</v>
          </cell>
          <cell r="K1386">
            <v>44821</v>
          </cell>
        </row>
        <row r="1387">
          <cell r="C1387">
            <v>11921</v>
          </cell>
          <cell r="K1387">
            <v>44821</v>
          </cell>
        </row>
        <row r="1388">
          <cell r="C1388">
            <v>11922</v>
          </cell>
          <cell r="K1388">
            <v>44821</v>
          </cell>
        </row>
        <row r="1389">
          <cell r="C1389">
            <v>11922</v>
          </cell>
          <cell r="K1389">
            <v>44821</v>
          </cell>
        </row>
        <row r="1390">
          <cell r="C1390">
            <v>11923</v>
          </cell>
          <cell r="K1390">
            <v>44821</v>
          </cell>
        </row>
        <row r="1391">
          <cell r="C1391" t="str">
            <v>1160E</v>
          </cell>
          <cell r="K1391">
            <v>44821</v>
          </cell>
        </row>
        <row r="1392">
          <cell r="C1392" t="str">
            <v>1172A</v>
          </cell>
          <cell r="K1392">
            <v>44822</v>
          </cell>
        </row>
        <row r="1393">
          <cell r="C1393">
            <v>4021</v>
          </cell>
          <cell r="K1393">
            <v>44824</v>
          </cell>
        </row>
        <row r="1394">
          <cell r="C1394" t="str">
            <v>1172A</v>
          </cell>
          <cell r="K1394">
            <v>44824</v>
          </cell>
        </row>
        <row r="1395">
          <cell r="C1395" t="str">
            <v>1111D1</v>
          </cell>
          <cell r="K1395">
            <v>44825</v>
          </cell>
        </row>
        <row r="1396">
          <cell r="C1396" t="str">
            <v>5111A</v>
          </cell>
          <cell r="K1396">
            <v>44825</v>
          </cell>
        </row>
        <row r="1397">
          <cell r="C1397" t="str">
            <v>1172A</v>
          </cell>
          <cell r="K1397">
            <v>44825</v>
          </cell>
        </row>
        <row r="1398">
          <cell r="C1398" t="str">
            <v>37510E</v>
          </cell>
          <cell r="K1398">
            <v>44825</v>
          </cell>
        </row>
        <row r="1399">
          <cell r="C1399" t="str">
            <v>1122A</v>
          </cell>
          <cell r="K1399">
            <v>44825</v>
          </cell>
        </row>
        <row r="1400">
          <cell r="C1400" t="str">
            <v>1172A</v>
          </cell>
          <cell r="K1400">
            <v>44825</v>
          </cell>
        </row>
        <row r="1401">
          <cell r="C1401" t="str">
            <v>3752A1</v>
          </cell>
          <cell r="K1401">
            <v>44827</v>
          </cell>
        </row>
        <row r="1402">
          <cell r="C1402" t="str">
            <v>1172A</v>
          </cell>
          <cell r="K1402">
            <v>44827</v>
          </cell>
        </row>
        <row r="1403">
          <cell r="C1403" t="str">
            <v>37540B</v>
          </cell>
          <cell r="K1403">
            <v>44828</v>
          </cell>
        </row>
        <row r="1404">
          <cell r="C1404">
            <v>41511</v>
          </cell>
          <cell r="K1404">
            <v>44828</v>
          </cell>
        </row>
        <row r="1405">
          <cell r="C1405" t="str">
            <v>1172A</v>
          </cell>
          <cell r="K1405">
            <v>44828</v>
          </cell>
        </row>
        <row r="1406">
          <cell r="C1406" t="str">
            <v>1172A</v>
          </cell>
          <cell r="K1406">
            <v>44828</v>
          </cell>
        </row>
        <row r="1407">
          <cell r="C1407" t="str">
            <v>1111D1</v>
          </cell>
          <cell r="K1407">
            <v>44829</v>
          </cell>
        </row>
        <row r="1408">
          <cell r="C1408">
            <v>5094</v>
          </cell>
          <cell r="K1408">
            <v>44830</v>
          </cell>
        </row>
        <row r="1409">
          <cell r="C1409" t="str">
            <v>3752A1</v>
          </cell>
          <cell r="K1409">
            <v>44830</v>
          </cell>
        </row>
        <row r="1410">
          <cell r="C1410" t="str">
            <v>380A1</v>
          </cell>
          <cell r="K1410">
            <v>44830</v>
          </cell>
        </row>
        <row r="1411">
          <cell r="C1411" t="str">
            <v>380A1</v>
          </cell>
          <cell r="K1411">
            <v>44830</v>
          </cell>
        </row>
        <row r="1412">
          <cell r="C1412" t="str">
            <v>380A1</v>
          </cell>
          <cell r="K1412">
            <v>44830</v>
          </cell>
        </row>
        <row r="1413">
          <cell r="C1413" t="str">
            <v>6001A</v>
          </cell>
          <cell r="K1413">
            <v>44830</v>
          </cell>
        </row>
        <row r="1414">
          <cell r="C1414">
            <v>1102</v>
          </cell>
          <cell r="K1414">
            <v>44831</v>
          </cell>
        </row>
        <row r="1415">
          <cell r="C1415">
            <v>5092</v>
          </cell>
          <cell r="K1415">
            <v>44831</v>
          </cell>
        </row>
        <row r="1416">
          <cell r="C1416" t="str">
            <v>1172A</v>
          </cell>
          <cell r="K1416">
            <v>44831</v>
          </cell>
        </row>
        <row r="1417">
          <cell r="C1417" t="str">
            <v>1172A</v>
          </cell>
          <cell r="K1417">
            <v>44831</v>
          </cell>
        </row>
        <row r="1418">
          <cell r="C1418" t="str">
            <v>1172A</v>
          </cell>
          <cell r="K1418">
            <v>44831</v>
          </cell>
        </row>
        <row r="1419">
          <cell r="C1419" t="str">
            <v>3191U</v>
          </cell>
          <cell r="K1419">
            <v>44833</v>
          </cell>
        </row>
        <row r="1420">
          <cell r="C1420" t="str">
            <v>1172A</v>
          </cell>
          <cell r="K1420">
            <v>44833</v>
          </cell>
        </row>
        <row r="1421">
          <cell r="C1421" t="str">
            <v>1172A</v>
          </cell>
          <cell r="K1421">
            <v>44833</v>
          </cell>
        </row>
        <row r="1422">
          <cell r="C1422" t="str">
            <v>1172A</v>
          </cell>
          <cell r="K1422">
            <v>44833</v>
          </cell>
        </row>
        <row r="1423">
          <cell r="C1423" t="str">
            <v>1172A</v>
          </cell>
          <cell r="K1423">
            <v>44833</v>
          </cell>
        </row>
        <row r="1424">
          <cell r="C1424" t="str">
            <v>1172A</v>
          </cell>
          <cell r="K1424">
            <v>44833</v>
          </cell>
        </row>
        <row r="1425">
          <cell r="C1425" t="str">
            <v>3752A1</v>
          </cell>
          <cell r="K1425">
            <v>44833</v>
          </cell>
        </row>
        <row r="1426">
          <cell r="C1426" t="str">
            <v>1172A</v>
          </cell>
          <cell r="K1426">
            <v>44833</v>
          </cell>
        </row>
        <row r="1427">
          <cell r="C1427" t="str">
            <v>1172A</v>
          </cell>
          <cell r="K1427">
            <v>44834</v>
          </cell>
        </row>
        <row r="1428">
          <cell r="C1428">
            <v>37530</v>
          </cell>
          <cell r="K1428">
            <v>44834</v>
          </cell>
        </row>
        <row r="1429">
          <cell r="C1429" t="str">
            <v>1172A</v>
          </cell>
          <cell r="K1429">
            <v>44834</v>
          </cell>
        </row>
        <row r="1430">
          <cell r="C1430">
            <v>5091</v>
          </cell>
          <cell r="K1430">
            <v>44835</v>
          </cell>
        </row>
        <row r="1431">
          <cell r="C1431" t="str">
            <v>1172A</v>
          </cell>
          <cell r="K1431">
            <v>44835</v>
          </cell>
        </row>
        <row r="1432">
          <cell r="C1432" t="str">
            <v>306B</v>
          </cell>
          <cell r="K1432">
            <v>44836</v>
          </cell>
        </row>
        <row r="1433">
          <cell r="C1433" t="str">
            <v>306E</v>
          </cell>
          <cell r="K1433">
            <v>44836</v>
          </cell>
        </row>
        <row r="1434">
          <cell r="C1434" t="str">
            <v>1172A</v>
          </cell>
          <cell r="K1434">
            <v>44837</v>
          </cell>
        </row>
        <row r="1435">
          <cell r="C1435" t="str">
            <v>37510E</v>
          </cell>
          <cell r="K1435">
            <v>44837</v>
          </cell>
        </row>
        <row r="1436">
          <cell r="C1436" t="str">
            <v>37535C</v>
          </cell>
          <cell r="K1436">
            <v>44837</v>
          </cell>
        </row>
        <row r="1437">
          <cell r="C1437">
            <v>5091</v>
          </cell>
          <cell r="K1437">
            <v>44838</v>
          </cell>
        </row>
        <row r="1438">
          <cell r="C1438" t="str">
            <v>1110A</v>
          </cell>
          <cell r="K1438">
            <v>44838</v>
          </cell>
        </row>
        <row r="1439">
          <cell r="C1439" t="str">
            <v>1110A</v>
          </cell>
          <cell r="K1439">
            <v>44838</v>
          </cell>
        </row>
        <row r="1440">
          <cell r="C1440" t="str">
            <v>1160A</v>
          </cell>
          <cell r="K1440">
            <v>44838</v>
          </cell>
        </row>
        <row r="1441">
          <cell r="C1441" t="str">
            <v>306B</v>
          </cell>
          <cell r="K1441">
            <v>44838</v>
          </cell>
        </row>
        <row r="1442">
          <cell r="C1442" t="str">
            <v>37540B</v>
          </cell>
          <cell r="K1442">
            <v>44838</v>
          </cell>
        </row>
        <row r="1443">
          <cell r="C1443" t="str">
            <v>1111D1</v>
          </cell>
          <cell r="K1443">
            <v>44838</v>
          </cell>
        </row>
        <row r="1444">
          <cell r="C1444" t="str">
            <v>3752A3</v>
          </cell>
          <cell r="K1444">
            <v>44839</v>
          </cell>
        </row>
        <row r="1445">
          <cell r="C1445" t="str">
            <v>1172A</v>
          </cell>
          <cell r="K1445">
            <v>44839</v>
          </cell>
        </row>
        <row r="1446">
          <cell r="C1446" t="str">
            <v>1172A</v>
          </cell>
          <cell r="K1446">
            <v>44839</v>
          </cell>
        </row>
        <row r="1447">
          <cell r="C1447" t="str">
            <v>306B</v>
          </cell>
          <cell r="K1447">
            <v>44839</v>
          </cell>
        </row>
        <row r="1448">
          <cell r="C1448" t="str">
            <v>4011A</v>
          </cell>
          <cell r="K1448">
            <v>44839</v>
          </cell>
        </row>
        <row r="1449">
          <cell r="C1449" t="str">
            <v>37512AB2</v>
          </cell>
          <cell r="K1449">
            <v>44840</v>
          </cell>
        </row>
        <row r="1450">
          <cell r="C1450" t="str">
            <v>3191U</v>
          </cell>
          <cell r="K1450">
            <v>44840</v>
          </cell>
        </row>
        <row r="1451">
          <cell r="C1451" t="str">
            <v>1172A</v>
          </cell>
          <cell r="K1451">
            <v>44840</v>
          </cell>
        </row>
        <row r="1452">
          <cell r="C1452" t="str">
            <v>1172A</v>
          </cell>
          <cell r="K1452">
            <v>44840</v>
          </cell>
        </row>
        <row r="1453">
          <cell r="C1453" t="str">
            <v>3752A1</v>
          </cell>
          <cell r="K1453">
            <v>44840</v>
          </cell>
        </row>
        <row r="1454">
          <cell r="C1454" t="str">
            <v>3752A1</v>
          </cell>
          <cell r="K1454">
            <v>44841</v>
          </cell>
        </row>
        <row r="1455">
          <cell r="C1455" t="str">
            <v>3752A1</v>
          </cell>
          <cell r="K1455">
            <v>44841</v>
          </cell>
        </row>
        <row r="1456">
          <cell r="C1456">
            <v>3192</v>
          </cell>
          <cell r="K1456">
            <v>44841</v>
          </cell>
        </row>
        <row r="1457">
          <cell r="C1457" t="str">
            <v>1172A</v>
          </cell>
          <cell r="K1457">
            <v>44841</v>
          </cell>
        </row>
        <row r="1458">
          <cell r="C1458" t="str">
            <v>5111A</v>
          </cell>
          <cell r="K1458">
            <v>44841</v>
          </cell>
        </row>
        <row r="1459">
          <cell r="C1459" t="str">
            <v>1172A</v>
          </cell>
          <cell r="K1459">
            <v>44844</v>
          </cell>
        </row>
        <row r="1460">
          <cell r="C1460" t="str">
            <v>1172A</v>
          </cell>
          <cell r="K1460">
            <v>44844</v>
          </cell>
        </row>
        <row r="1461">
          <cell r="C1461" t="str">
            <v>1122A</v>
          </cell>
          <cell r="K1461">
            <v>44844</v>
          </cell>
        </row>
        <row r="1462">
          <cell r="C1462" t="str">
            <v>1172A</v>
          </cell>
          <cell r="K1462">
            <v>44844</v>
          </cell>
        </row>
        <row r="1463">
          <cell r="C1463" t="str">
            <v>1180A</v>
          </cell>
          <cell r="K1463">
            <v>44844</v>
          </cell>
        </row>
        <row r="1464">
          <cell r="C1464" t="str">
            <v>3752A</v>
          </cell>
          <cell r="K1464">
            <v>44844</v>
          </cell>
        </row>
        <row r="1465">
          <cell r="C1465" t="str">
            <v>1172A</v>
          </cell>
          <cell r="K1465">
            <v>44844</v>
          </cell>
        </row>
        <row r="1466">
          <cell r="C1466" t="str">
            <v>1172A</v>
          </cell>
          <cell r="K1466">
            <v>44844</v>
          </cell>
        </row>
        <row r="1467">
          <cell r="C1467">
            <v>416</v>
          </cell>
          <cell r="K1467">
            <v>44845</v>
          </cell>
        </row>
        <row r="1468">
          <cell r="C1468">
            <v>4024</v>
          </cell>
          <cell r="K1468">
            <v>44845</v>
          </cell>
        </row>
        <row r="1469">
          <cell r="C1469" t="str">
            <v>3191U</v>
          </cell>
          <cell r="K1469">
            <v>44845</v>
          </cell>
        </row>
        <row r="1470">
          <cell r="C1470" t="str">
            <v>4011A</v>
          </cell>
          <cell r="K1470">
            <v>44845</v>
          </cell>
        </row>
        <row r="1471">
          <cell r="C1471" t="str">
            <v>5111A</v>
          </cell>
          <cell r="K1471">
            <v>44845</v>
          </cell>
        </row>
        <row r="1472">
          <cell r="C1472" t="str">
            <v>1172A</v>
          </cell>
          <cell r="K1472">
            <v>44845</v>
          </cell>
        </row>
        <row r="1473">
          <cell r="C1473">
            <v>5091</v>
          </cell>
          <cell r="K1473">
            <v>44845</v>
          </cell>
        </row>
        <row r="1474">
          <cell r="C1474" t="str">
            <v>3752A1</v>
          </cell>
          <cell r="K1474">
            <v>44845</v>
          </cell>
        </row>
        <row r="1475">
          <cell r="C1475" t="str">
            <v>1172A</v>
          </cell>
          <cell r="K1475">
            <v>44845</v>
          </cell>
        </row>
        <row r="1476">
          <cell r="C1476" t="str">
            <v>3191U</v>
          </cell>
          <cell r="K1476">
            <v>44845</v>
          </cell>
        </row>
        <row r="1477">
          <cell r="C1477">
            <v>3192</v>
          </cell>
          <cell r="K1477">
            <v>44845</v>
          </cell>
        </row>
        <row r="1478">
          <cell r="C1478">
            <v>3192</v>
          </cell>
          <cell r="K1478">
            <v>44845</v>
          </cell>
        </row>
        <row r="1479">
          <cell r="C1479" t="str">
            <v>1172A</v>
          </cell>
          <cell r="K1479">
            <v>44845</v>
          </cell>
        </row>
        <row r="1480">
          <cell r="C1480" t="str">
            <v>3191U</v>
          </cell>
          <cell r="K1480">
            <v>44846</v>
          </cell>
        </row>
        <row r="1481">
          <cell r="C1481" t="str">
            <v>1172A</v>
          </cell>
          <cell r="K1481">
            <v>44846</v>
          </cell>
        </row>
        <row r="1482">
          <cell r="C1482">
            <v>5092</v>
          </cell>
          <cell r="K1482">
            <v>44846</v>
          </cell>
        </row>
        <row r="1483">
          <cell r="C1483" t="str">
            <v>501B2A</v>
          </cell>
          <cell r="K1483">
            <v>44846</v>
          </cell>
        </row>
        <row r="1484">
          <cell r="C1484">
            <v>1123</v>
          </cell>
          <cell r="K1484">
            <v>44846</v>
          </cell>
        </row>
        <row r="1485">
          <cell r="C1485">
            <v>1123</v>
          </cell>
          <cell r="K1485">
            <v>44846</v>
          </cell>
        </row>
        <row r="1486">
          <cell r="C1486" t="str">
            <v>3191U</v>
          </cell>
          <cell r="K1486">
            <v>44846</v>
          </cell>
        </row>
        <row r="1487">
          <cell r="C1487">
            <v>5091</v>
          </cell>
          <cell r="K1487">
            <v>44846</v>
          </cell>
        </row>
        <row r="1488">
          <cell r="C1488" t="str">
            <v>1110A</v>
          </cell>
          <cell r="K1488">
            <v>44847</v>
          </cell>
        </row>
        <row r="1489">
          <cell r="C1489" t="str">
            <v>1172A</v>
          </cell>
          <cell r="K1489">
            <v>44848</v>
          </cell>
        </row>
        <row r="1490">
          <cell r="C1490" t="str">
            <v>1172A</v>
          </cell>
          <cell r="K1490">
            <v>44850</v>
          </cell>
        </row>
        <row r="1491">
          <cell r="C1491" t="str">
            <v>3191U</v>
          </cell>
          <cell r="K1491">
            <v>44850</v>
          </cell>
        </row>
        <row r="1492">
          <cell r="C1492" t="str">
            <v>1111D1</v>
          </cell>
          <cell r="K1492">
            <v>44850</v>
          </cell>
        </row>
        <row r="1493">
          <cell r="C1493" t="str">
            <v>1172A</v>
          </cell>
          <cell r="K1493">
            <v>44850</v>
          </cell>
        </row>
        <row r="1494">
          <cell r="C1494" t="str">
            <v>1172A</v>
          </cell>
          <cell r="K1494">
            <v>44851</v>
          </cell>
        </row>
        <row r="1495">
          <cell r="C1495" t="str">
            <v>1225D1A</v>
          </cell>
          <cell r="K1495">
            <v>44851</v>
          </cell>
        </row>
        <row r="1496">
          <cell r="C1496" t="str">
            <v>3752A1</v>
          </cell>
          <cell r="K1496">
            <v>44851</v>
          </cell>
        </row>
        <row r="1497">
          <cell r="C1497" t="str">
            <v>1172A</v>
          </cell>
          <cell r="K1497">
            <v>44851</v>
          </cell>
        </row>
        <row r="1498">
          <cell r="C1498" t="str">
            <v>5111A</v>
          </cell>
          <cell r="K1498">
            <v>44852</v>
          </cell>
        </row>
        <row r="1499">
          <cell r="C1499">
            <v>4021</v>
          </cell>
          <cell r="K1499">
            <v>44852</v>
          </cell>
        </row>
        <row r="1500">
          <cell r="C1500" t="str">
            <v>3191U</v>
          </cell>
          <cell r="K1500">
            <v>44852</v>
          </cell>
        </row>
        <row r="1501">
          <cell r="C1501">
            <v>5091</v>
          </cell>
          <cell r="K1501">
            <v>44852</v>
          </cell>
        </row>
        <row r="1502">
          <cell r="C1502">
            <v>5092</v>
          </cell>
          <cell r="K1502">
            <v>44852</v>
          </cell>
        </row>
        <row r="1503">
          <cell r="C1503">
            <v>1162</v>
          </cell>
          <cell r="K1503">
            <v>44852</v>
          </cell>
        </row>
        <row r="1504">
          <cell r="C1504" t="str">
            <v>3752A1</v>
          </cell>
          <cell r="K1504">
            <v>44852</v>
          </cell>
        </row>
        <row r="1505">
          <cell r="C1505" t="str">
            <v>1172A</v>
          </cell>
          <cell r="K1505">
            <v>44852</v>
          </cell>
        </row>
        <row r="1506">
          <cell r="C1506" t="str">
            <v>1172A</v>
          </cell>
          <cell r="K1506">
            <v>44852</v>
          </cell>
        </row>
        <row r="1507">
          <cell r="C1507" t="str">
            <v>3191U</v>
          </cell>
          <cell r="K1507">
            <v>44852</v>
          </cell>
        </row>
        <row r="1508">
          <cell r="C1508" t="str">
            <v>1172A</v>
          </cell>
          <cell r="K1508">
            <v>44852</v>
          </cell>
        </row>
        <row r="1509">
          <cell r="C1509" t="str">
            <v>1229C3</v>
          </cell>
          <cell r="K1509">
            <v>44854</v>
          </cell>
        </row>
        <row r="1510">
          <cell r="C1510" t="str">
            <v>1172A</v>
          </cell>
          <cell r="K1510">
            <v>44854</v>
          </cell>
        </row>
        <row r="1511">
          <cell r="C1511" t="str">
            <v>1172A</v>
          </cell>
          <cell r="K1511">
            <v>44854</v>
          </cell>
        </row>
        <row r="1512">
          <cell r="C1512" t="str">
            <v>1172A</v>
          </cell>
          <cell r="K1512">
            <v>44854</v>
          </cell>
        </row>
        <row r="1513">
          <cell r="C1513">
            <v>3751</v>
          </cell>
          <cell r="K1513">
            <v>44855</v>
          </cell>
        </row>
        <row r="1514">
          <cell r="C1514">
            <v>3759</v>
          </cell>
          <cell r="K1514">
            <v>44855</v>
          </cell>
        </row>
        <row r="1515">
          <cell r="C1515">
            <v>3759</v>
          </cell>
          <cell r="K1515">
            <v>44855</v>
          </cell>
        </row>
        <row r="1516">
          <cell r="C1516">
            <v>3759</v>
          </cell>
          <cell r="K1516">
            <v>44855</v>
          </cell>
        </row>
        <row r="1517">
          <cell r="C1517">
            <v>3759</v>
          </cell>
          <cell r="K1517">
            <v>44855</v>
          </cell>
        </row>
        <row r="1518">
          <cell r="C1518">
            <v>3759</v>
          </cell>
          <cell r="K1518">
            <v>44855</v>
          </cell>
        </row>
        <row r="1519">
          <cell r="C1519">
            <v>4024</v>
          </cell>
          <cell r="K1519">
            <v>44855</v>
          </cell>
        </row>
        <row r="1520">
          <cell r="C1520">
            <v>4024</v>
          </cell>
          <cell r="K1520">
            <v>44855</v>
          </cell>
        </row>
        <row r="1521">
          <cell r="C1521">
            <v>5094</v>
          </cell>
          <cell r="K1521">
            <v>44855</v>
          </cell>
        </row>
        <row r="1522">
          <cell r="C1522">
            <v>37517</v>
          </cell>
          <cell r="K1522">
            <v>44855</v>
          </cell>
        </row>
        <row r="1523">
          <cell r="C1523">
            <v>37517</v>
          </cell>
          <cell r="K1523">
            <v>44855</v>
          </cell>
        </row>
        <row r="1524">
          <cell r="C1524">
            <v>37518</v>
          </cell>
          <cell r="K1524">
            <v>44855</v>
          </cell>
        </row>
        <row r="1525">
          <cell r="C1525" t="str">
            <v>1402CII</v>
          </cell>
          <cell r="K1525">
            <v>44855</v>
          </cell>
        </row>
        <row r="1526">
          <cell r="C1526" t="str">
            <v>1402CII</v>
          </cell>
          <cell r="K1526">
            <v>44855</v>
          </cell>
        </row>
        <row r="1527">
          <cell r="C1527" t="str">
            <v>1402CII</v>
          </cell>
          <cell r="K1527">
            <v>44855</v>
          </cell>
        </row>
        <row r="1528">
          <cell r="C1528" t="str">
            <v>1402CII</v>
          </cell>
          <cell r="K1528">
            <v>44855</v>
          </cell>
        </row>
        <row r="1529">
          <cell r="C1529" t="str">
            <v>1402CII</v>
          </cell>
          <cell r="K1529">
            <v>44855</v>
          </cell>
        </row>
        <row r="1530">
          <cell r="C1530" t="str">
            <v>1402CII</v>
          </cell>
          <cell r="K1530">
            <v>44855</v>
          </cell>
        </row>
        <row r="1531">
          <cell r="C1531" t="str">
            <v>1402CII</v>
          </cell>
          <cell r="K1531">
            <v>44855</v>
          </cell>
        </row>
        <row r="1532">
          <cell r="C1532" t="str">
            <v>1402CII</v>
          </cell>
          <cell r="K1532">
            <v>44855</v>
          </cell>
        </row>
        <row r="1533">
          <cell r="C1533" t="str">
            <v>1402CII</v>
          </cell>
          <cell r="K1533">
            <v>44855</v>
          </cell>
        </row>
        <row r="1534">
          <cell r="C1534" t="str">
            <v>1402CII</v>
          </cell>
          <cell r="K1534">
            <v>44855</v>
          </cell>
        </row>
        <row r="1535">
          <cell r="C1535" t="str">
            <v>1815A1</v>
          </cell>
          <cell r="K1535">
            <v>44855</v>
          </cell>
        </row>
        <row r="1536">
          <cell r="C1536" t="str">
            <v>306B</v>
          </cell>
          <cell r="K1536">
            <v>44855</v>
          </cell>
        </row>
        <row r="1537">
          <cell r="C1537" t="str">
            <v>306B</v>
          </cell>
          <cell r="K1537">
            <v>44855</v>
          </cell>
        </row>
        <row r="1538">
          <cell r="C1538" t="str">
            <v>3191U</v>
          </cell>
          <cell r="K1538">
            <v>44855</v>
          </cell>
        </row>
        <row r="1539">
          <cell r="C1539" t="str">
            <v>3191U</v>
          </cell>
          <cell r="K1539">
            <v>44855</v>
          </cell>
        </row>
        <row r="1540">
          <cell r="C1540" t="str">
            <v>3191U</v>
          </cell>
          <cell r="K1540">
            <v>44855</v>
          </cell>
        </row>
        <row r="1541">
          <cell r="C1541" t="str">
            <v>3751A</v>
          </cell>
          <cell r="K1541">
            <v>44855</v>
          </cell>
        </row>
        <row r="1542">
          <cell r="C1542" t="str">
            <v>3751A</v>
          </cell>
          <cell r="K1542">
            <v>44855</v>
          </cell>
        </row>
        <row r="1543">
          <cell r="C1543" t="str">
            <v>3751E</v>
          </cell>
          <cell r="K1543">
            <v>44855</v>
          </cell>
        </row>
        <row r="1544">
          <cell r="C1544" t="str">
            <v>37525B</v>
          </cell>
          <cell r="K1544">
            <v>44855</v>
          </cell>
        </row>
        <row r="1545">
          <cell r="C1545" t="str">
            <v>37535C</v>
          </cell>
          <cell r="K1545">
            <v>44855</v>
          </cell>
        </row>
        <row r="1546">
          <cell r="C1546" t="str">
            <v>37535C</v>
          </cell>
          <cell r="K1546">
            <v>44855</v>
          </cell>
        </row>
        <row r="1547">
          <cell r="C1547" t="str">
            <v>37535C</v>
          </cell>
          <cell r="K1547">
            <v>44855</v>
          </cell>
        </row>
        <row r="1548">
          <cell r="C1548" t="str">
            <v>37535C</v>
          </cell>
          <cell r="K1548">
            <v>44855</v>
          </cell>
        </row>
        <row r="1549">
          <cell r="C1549" t="str">
            <v>37535C</v>
          </cell>
          <cell r="K1549">
            <v>44855</v>
          </cell>
        </row>
        <row r="1550">
          <cell r="C1550" t="str">
            <v>37535C</v>
          </cell>
          <cell r="K1550">
            <v>44855</v>
          </cell>
        </row>
        <row r="1551">
          <cell r="C1551" t="str">
            <v>37535C</v>
          </cell>
          <cell r="K1551">
            <v>44855</v>
          </cell>
        </row>
        <row r="1552">
          <cell r="C1552" t="str">
            <v>37535C</v>
          </cell>
          <cell r="K1552">
            <v>44855</v>
          </cell>
        </row>
        <row r="1553">
          <cell r="C1553" t="str">
            <v>3761A</v>
          </cell>
          <cell r="K1553">
            <v>44855</v>
          </cell>
        </row>
        <row r="1554">
          <cell r="C1554" t="str">
            <v>3761A</v>
          </cell>
          <cell r="K1554">
            <v>44855</v>
          </cell>
        </row>
        <row r="1555">
          <cell r="C1555" t="str">
            <v>3761A</v>
          </cell>
          <cell r="K1555">
            <v>44855</v>
          </cell>
        </row>
        <row r="1556">
          <cell r="C1556" t="str">
            <v>380A</v>
          </cell>
          <cell r="K1556">
            <v>44855</v>
          </cell>
        </row>
        <row r="1557">
          <cell r="C1557" t="str">
            <v>380A1</v>
          </cell>
          <cell r="K1557">
            <v>44855</v>
          </cell>
        </row>
        <row r="1558">
          <cell r="C1558" t="str">
            <v>5097A</v>
          </cell>
          <cell r="K1558">
            <v>44855</v>
          </cell>
        </row>
        <row r="1559">
          <cell r="C1559" t="str">
            <v>5097A</v>
          </cell>
          <cell r="K1559">
            <v>44855</v>
          </cell>
        </row>
        <row r="1560">
          <cell r="C1560" t="str">
            <v>1110A</v>
          </cell>
          <cell r="K1560">
            <v>44856</v>
          </cell>
        </row>
        <row r="1561">
          <cell r="C1561" t="str">
            <v>1172A</v>
          </cell>
          <cell r="K1561">
            <v>44857</v>
          </cell>
        </row>
        <row r="1562">
          <cell r="C1562" t="str">
            <v>306B</v>
          </cell>
          <cell r="K1562">
            <v>44857</v>
          </cell>
        </row>
        <row r="1563">
          <cell r="C1563" t="str">
            <v>1111D1</v>
          </cell>
          <cell r="K1563">
            <v>44857</v>
          </cell>
        </row>
        <row r="1564">
          <cell r="C1564" t="str">
            <v>1172A</v>
          </cell>
          <cell r="K1564">
            <v>44858</v>
          </cell>
        </row>
        <row r="1565">
          <cell r="C1565" t="str">
            <v>1180D</v>
          </cell>
          <cell r="K1565">
            <v>44858</v>
          </cell>
        </row>
        <row r="1566">
          <cell r="C1566" t="str">
            <v>1172A</v>
          </cell>
          <cell r="K1566">
            <v>44858</v>
          </cell>
        </row>
        <row r="1567">
          <cell r="C1567" t="str">
            <v>37512AB2</v>
          </cell>
          <cell r="K1567">
            <v>44859</v>
          </cell>
        </row>
        <row r="1568">
          <cell r="C1568" t="str">
            <v>1172A</v>
          </cell>
          <cell r="K1568">
            <v>44859</v>
          </cell>
        </row>
        <row r="1569">
          <cell r="C1569" t="str">
            <v>1225A</v>
          </cell>
          <cell r="K1569">
            <v>44860</v>
          </cell>
        </row>
        <row r="1570">
          <cell r="C1570" t="str">
            <v>3191U</v>
          </cell>
          <cell r="K1570">
            <v>44860</v>
          </cell>
        </row>
        <row r="1571">
          <cell r="C1571" t="str">
            <v>306B</v>
          </cell>
          <cell r="K1571">
            <v>44860</v>
          </cell>
        </row>
        <row r="1572">
          <cell r="C1572">
            <v>5091</v>
          </cell>
          <cell r="K1572">
            <v>44860</v>
          </cell>
        </row>
        <row r="1573">
          <cell r="C1573">
            <v>11923</v>
          </cell>
          <cell r="K1573">
            <v>44860</v>
          </cell>
        </row>
        <row r="1574">
          <cell r="C1574" t="str">
            <v>1172A</v>
          </cell>
          <cell r="K1574">
            <v>44860</v>
          </cell>
        </row>
        <row r="1575">
          <cell r="C1575" t="str">
            <v>3191P</v>
          </cell>
          <cell r="K1575">
            <v>44860</v>
          </cell>
        </row>
        <row r="1576">
          <cell r="C1576" t="str">
            <v>1172A</v>
          </cell>
          <cell r="K1576">
            <v>44860</v>
          </cell>
        </row>
        <row r="1577">
          <cell r="C1577" t="str">
            <v>1172A</v>
          </cell>
          <cell r="K1577">
            <v>44861</v>
          </cell>
        </row>
        <row r="1578">
          <cell r="C1578">
            <v>5091</v>
          </cell>
          <cell r="K1578">
            <v>44861</v>
          </cell>
        </row>
        <row r="1579">
          <cell r="C1579">
            <v>11924</v>
          </cell>
          <cell r="K1579">
            <v>44861</v>
          </cell>
        </row>
        <row r="1580">
          <cell r="C1580" t="str">
            <v>1111D1</v>
          </cell>
          <cell r="K1580">
            <v>44861</v>
          </cell>
        </row>
        <row r="1581">
          <cell r="C1581" t="str">
            <v>3191U</v>
          </cell>
          <cell r="K1581">
            <v>44861</v>
          </cell>
        </row>
        <row r="1582">
          <cell r="C1582" t="str">
            <v>3752A1</v>
          </cell>
          <cell r="K1582">
            <v>44861</v>
          </cell>
        </row>
        <row r="1583">
          <cell r="C1583" t="str">
            <v>3752A1</v>
          </cell>
          <cell r="K1583">
            <v>44861</v>
          </cell>
        </row>
        <row r="1584">
          <cell r="C1584" t="str">
            <v>3752A3</v>
          </cell>
          <cell r="K1584">
            <v>44861</v>
          </cell>
        </row>
        <row r="1585">
          <cell r="C1585" t="str">
            <v>5111A</v>
          </cell>
          <cell r="K1585">
            <v>44861</v>
          </cell>
        </row>
        <row r="1586">
          <cell r="C1586">
            <v>5091</v>
          </cell>
          <cell r="K1586">
            <v>44861</v>
          </cell>
        </row>
        <row r="1587">
          <cell r="C1587" t="str">
            <v>3191U</v>
          </cell>
          <cell r="K1587">
            <v>44861</v>
          </cell>
        </row>
        <row r="1588">
          <cell r="C1588" t="str">
            <v>4011A</v>
          </cell>
          <cell r="K1588">
            <v>44861</v>
          </cell>
        </row>
        <row r="1589">
          <cell r="C1589" t="str">
            <v>1225C2A</v>
          </cell>
          <cell r="K1589">
            <v>44862</v>
          </cell>
        </row>
        <row r="1590">
          <cell r="C1590" t="str">
            <v>1110A</v>
          </cell>
          <cell r="K1590">
            <v>44862</v>
          </cell>
        </row>
        <row r="1591">
          <cell r="C1591">
            <v>3751</v>
          </cell>
          <cell r="K1591">
            <v>44862</v>
          </cell>
        </row>
        <row r="1592">
          <cell r="C1592">
            <v>3751</v>
          </cell>
          <cell r="K1592">
            <v>44862</v>
          </cell>
        </row>
        <row r="1593">
          <cell r="C1593">
            <v>3751</v>
          </cell>
          <cell r="K1593">
            <v>44862</v>
          </cell>
        </row>
        <row r="1594">
          <cell r="C1594">
            <v>3759</v>
          </cell>
          <cell r="K1594">
            <v>44862</v>
          </cell>
        </row>
        <row r="1595">
          <cell r="C1595">
            <v>3759</v>
          </cell>
          <cell r="K1595">
            <v>44862</v>
          </cell>
        </row>
        <row r="1596">
          <cell r="C1596">
            <v>3759</v>
          </cell>
          <cell r="K1596">
            <v>44862</v>
          </cell>
        </row>
        <row r="1597">
          <cell r="C1597">
            <v>3759</v>
          </cell>
          <cell r="K1597">
            <v>44862</v>
          </cell>
        </row>
        <row r="1598">
          <cell r="C1598">
            <v>3759</v>
          </cell>
          <cell r="K1598">
            <v>44862</v>
          </cell>
        </row>
        <row r="1599">
          <cell r="C1599">
            <v>4023</v>
          </cell>
          <cell r="K1599">
            <v>44862</v>
          </cell>
        </row>
        <row r="1600">
          <cell r="C1600">
            <v>5093</v>
          </cell>
          <cell r="K1600">
            <v>44862</v>
          </cell>
        </row>
        <row r="1601">
          <cell r="C1601">
            <v>37517</v>
          </cell>
          <cell r="K1601">
            <v>44862</v>
          </cell>
        </row>
        <row r="1602">
          <cell r="C1602">
            <v>37517</v>
          </cell>
          <cell r="K1602">
            <v>44862</v>
          </cell>
        </row>
        <row r="1603">
          <cell r="C1603" t="str">
            <v>1402CII</v>
          </cell>
          <cell r="K1603">
            <v>44862</v>
          </cell>
        </row>
        <row r="1604">
          <cell r="C1604" t="str">
            <v>1402CII</v>
          </cell>
          <cell r="K1604">
            <v>44862</v>
          </cell>
        </row>
        <row r="1605">
          <cell r="C1605" t="str">
            <v>1402CII</v>
          </cell>
          <cell r="K1605">
            <v>44862</v>
          </cell>
        </row>
        <row r="1606">
          <cell r="C1606" t="str">
            <v>1402CII</v>
          </cell>
          <cell r="K1606">
            <v>44862</v>
          </cell>
        </row>
        <row r="1607">
          <cell r="C1607" t="str">
            <v>1402CII</v>
          </cell>
          <cell r="K1607">
            <v>44862</v>
          </cell>
        </row>
        <row r="1608">
          <cell r="C1608" t="str">
            <v>1402CII</v>
          </cell>
          <cell r="K1608">
            <v>44862</v>
          </cell>
        </row>
        <row r="1609">
          <cell r="C1609" t="str">
            <v>1402CII</v>
          </cell>
          <cell r="K1609">
            <v>44862</v>
          </cell>
        </row>
        <row r="1610">
          <cell r="C1610" t="str">
            <v>1402CII</v>
          </cell>
          <cell r="K1610">
            <v>44862</v>
          </cell>
        </row>
        <row r="1611">
          <cell r="C1611" t="str">
            <v>1402CII</v>
          </cell>
          <cell r="K1611">
            <v>44862</v>
          </cell>
        </row>
        <row r="1612">
          <cell r="C1612" t="str">
            <v>1402CII</v>
          </cell>
          <cell r="K1612">
            <v>44862</v>
          </cell>
        </row>
        <row r="1613">
          <cell r="C1613" t="str">
            <v>1402CII</v>
          </cell>
          <cell r="K1613">
            <v>44862</v>
          </cell>
        </row>
        <row r="1614">
          <cell r="C1614" t="str">
            <v>1402CII</v>
          </cell>
          <cell r="K1614">
            <v>44862</v>
          </cell>
        </row>
        <row r="1615">
          <cell r="C1615" t="str">
            <v>1402CII</v>
          </cell>
          <cell r="K1615">
            <v>44862</v>
          </cell>
        </row>
        <row r="1616">
          <cell r="C1616" t="str">
            <v>1402CII</v>
          </cell>
          <cell r="K1616">
            <v>44862</v>
          </cell>
        </row>
        <row r="1617">
          <cell r="C1617" t="str">
            <v>1402CII</v>
          </cell>
          <cell r="K1617">
            <v>44862</v>
          </cell>
        </row>
        <row r="1618">
          <cell r="C1618" t="str">
            <v>306B</v>
          </cell>
          <cell r="K1618">
            <v>44862</v>
          </cell>
        </row>
        <row r="1619">
          <cell r="C1619" t="str">
            <v>306B</v>
          </cell>
          <cell r="K1619">
            <v>44862</v>
          </cell>
        </row>
        <row r="1620">
          <cell r="C1620" t="str">
            <v>37510E</v>
          </cell>
          <cell r="K1620">
            <v>44862</v>
          </cell>
        </row>
        <row r="1621">
          <cell r="C1621" t="str">
            <v>37525A</v>
          </cell>
          <cell r="K1621">
            <v>44862</v>
          </cell>
        </row>
        <row r="1622">
          <cell r="C1622" t="str">
            <v>3752A1</v>
          </cell>
          <cell r="K1622">
            <v>44862</v>
          </cell>
        </row>
        <row r="1623">
          <cell r="C1623" t="str">
            <v>3752A1</v>
          </cell>
          <cell r="K1623">
            <v>44862</v>
          </cell>
        </row>
        <row r="1624">
          <cell r="C1624" t="str">
            <v>37535C</v>
          </cell>
          <cell r="K1624">
            <v>44862</v>
          </cell>
        </row>
        <row r="1625">
          <cell r="C1625" t="str">
            <v>37535C</v>
          </cell>
          <cell r="K1625">
            <v>44862</v>
          </cell>
        </row>
        <row r="1626">
          <cell r="C1626" t="str">
            <v>37535C</v>
          </cell>
          <cell r="K1626">
            <v>44862</v>
          </cell>
        </row>
        <row r="1627">
          <cell r="C1627" t="str">
            <v>37535C</v>
          </cell>
          <cell r="K1627">
            <v>44862</v>
          </cell>
        </row>
        <row r="1628">
          <cell r="C1628" t="str">
            <v>37535C</v>
          </cell>
          <cell r="K1628">
            <v>44862</v>
          </cell>
        </row>
        <row r="1629">
          <cell r="C1629" t="str">
            <v>37535C</v>
          </cell>
          <cell r="K1629">
            <v>44862</v>
          </cell>
        </row>
        <row r="1630">
          <cell r="C1630" t="str">
            <v>37535C</v>
          </cell>
          <cell r="K1630">
            <v>44862</v>
          </cell>
        </row>
        <row r="1631">
          <cell r="C1631" t="str">
            <v>37535C</v>
          </cell>
          <cell r="K1631">
            <v>44862</v>
          </cell>
        </row>
        <row r="1632">
          <cell r="C1632" t="str">
            <v>37535C</v>
          </cell>
          <cell r="K1632">
            <v>44862</v>
          </cell>
        </row>
        <row r="1633">
          <cell r="C1633" t="str">
            <v>37535C</v>
          </cell>
          <cell r="K1633">
            <v>44862</v>
          </cell>
        </row>
        <row r="1634">
          <cell r="C1634" t="str">
            <v>3761A</v>
          </cell>
          <cell r="K1634">
            <v>44862</v>
          </cell>
        </row>
        <row r="1635">
          <cell r="C1635" t="str">
            <v>3761A</v>
          </cell>
          <cell r="K1635">
            <v>44862</v>
          </cell>
        </row>
        <row r="1636">
          <cell r="C1636" t="str">
            <v>3761A</v>
          </cell>
          <cell r="K1636">
            <v>44862</v>
          </cell>
        </row>
        <row r="1637">
          <cell r="C1637" t="str">
            <v>3761A</v>
          </cell>
          <cell r="K1637">
            <v>44862</v>
          </cell>
        </row>
        <row r="1638">
          <cell r="C1638" t="str">
            <v>3761A</v>
          </cell>
          <cell r="K1638">
            <v>44862</v>
          </cell>
        </row>
        <row r="1639">
          <cell r="C1639" t="str">
            <v>3761A</v>
          </cell>
          <cell r="K1639">
            <v>44862</v>
          </cell>
        </row>
        <row r="1640">
          <cell r="C1640" t="str">
            <v>3761A</v>
          </cell>
          <cell r="K1640">
            <v>44862</v>
          </cell>
        </row>
        <row r="1641">
          <cell r="C1641" t="str">
            <v>3761A</v>
          </cell>
          <cell r="K1641">
            <v>44862</v>
          </cell>
        </row>
        <row r="1642">
          <cell r="C1642" t="str">
            <v>3761A</v>
          </cell>
          <cell r="K1642">
            <v>44862</v>
          </cell>
        </row>
        <row r="1643">
          <cell r="C1643" t="str">
            <v>3761A</v>
          </cell>
          <cell r="K1643">
            <v>44862</v>
          </cell>
        </row>
        <row r="1644">
          <cell r="C1644" t="str">
            <v>3761A</v>
          </cell>
          <cell r="K1644">
            <v>44862</v>
          </cell>
        </row>
        <row r="1645">
          <cell r="C1645" t="str">
            <v>380A1</v>
          </cell>
          <cell r="K1645">
            <v>44862</v>
          </cell>
        </row>
        <row r="1646">
          <cell r="C1646" t="str">
            <v>380A1</v>
          </cell>
          <cell r="K1646">
            <v>44862</v>
          </cell>
        </row>
        <row r="1647">
          <cell r="C1647" t="str">
            <v>380A1</v>
          </cell>
          <cell r="K1647">
            <v>44862</v>
          </cell>
        </row>
        <row r="1648">
          <cell r="C1648">
            <v>11921</v>
          </cell>
          <cell r="K1648">
            <v>44863</v>
          </cell>
        </row>
        <row r="1649">
          <cell r="C1649">
            <v>11922</v>
          </cell>
          <cell r="K1649">
            <v>44863</v>
          </cell>
        </row>
        <row r="1650">
          <cell r="C1650">
            <v>11922</v>
          </cell>
          <cell r="K1650">
            <v>44863</v>
          </cell>
        </row>
        <row r="1651">
          <cell r="C1651" t="str">
            <v>11922AA</v>
          </cell>
          <cell r="K1651">
            <v>44863</v>
          </cell>
        </row>
        <row r="1652">
          <cell r="C1652" t="str">
            <v>6001A</v>
          </cell>
          <cell r="K1652">
            <v>44863</v>
          </cell>
        </row>
        <row r="1653">
          <cell r="C1653" t="str">
            <v>1172A</v>
          </cell>
          <cell r="K1653">
            <v>44864</v>
          </cell>
        </row>
        <row r="1654">
          <cell r="C1654" t="str">
            <v>37540B</v>
          </cell>
          <cell r="K1654">
            <v>44864</v>
          </cell>
        </row>
        <row r="1655">
          <cell r="C1655">
            <v>37530</v>
          </cell>
          <cell r="K1655">
            <v>44865</v>
          </cell>
        </row>
        <row r="1656">
          <cell r="C1656" t="str">
            <v>37540B</v>
          </cell>
          <cell r="K1656">
            <v>44865</v>
          </cell>
        </row>
        <row r="1657">
          <cell r="C1657" t="str">
            <v>1172A</v>
          </cell>
          <cell r="K1657">
            <v>44865</v>
          </cell>
        </row>
        <row r="1658">
          <cell r="C1658" t="str">
            <v>1172A</v>
          </cell>
          <cell r="K1658">
            <v>44866</v>
          </cell>
        </row>
        <row r="1659">
          <cell r="C1659">
            <v>1102</v>
          </cell>
          <cell r="K1659">
            <v>44866</v>
          </cell>
        </row>
        <row r="1660">
          <cell r="C1660">
            <v>1212</v>
          </cell>
          <cell r="K1660">
            <v>44866</v>
          </cell>
        </row>
        <row r="1661">
          <cell r="C1661" t="str">
            <v>1172A</v>
          </cell>
          <cell r="K1661">
            <v>44866</v>
          </cell>
        </row>
        <row r="1662">
          <cell r="C1662" t="str">
            <v>1172A</v>
          </cell>
          <cell r="K1662">
            <v>44866</v>
          </cell>
        </row>
        <row r="1663">
          <cell r="C1663" t="str">
            <v>1180A</v>
          </cell>
          <cell r="K1663">
            <v>44866</v>
          </cell>
        </row>
        <row r="1664">
          <cell r="C1664" t="str">
            <v>3752A1</v>
          </cell>
          <cell r="K1664">
            <v>44866</v>
          </cell>
        </row>
        <row r="1665">
          <cell r="C1665" t="str">
            <v>37540B</v>
          </cell>
          <cell r="K1665">
            <v>44867</v>
          </cell>
        </row>
        <row r="1666">
          <cell r="C1666" t="str">
            <v>1172A</v>
          </cell>
          <cell r="K1666">
            <v>44867</v>
          </cell>
        </row>
        <row r="1667">
          <cell r="C1667" t="str">
            <v>3191U</v>
          </cell>
          <cell r="K1667">
            <v>44869</v>
          </cell>
        </row>
        <row r="1668">
          <cell r="C1668" t="str">
            <v>3752A1</v>
          </cell>
          <cell r="K1668">
            <v>44869</v>
          </cell>
        </row>
        <row r="1669">
          <cell r="C1669" t="str">
            <v>3752A1</v>
          </cell>
          <cell r="K1669">
            <v>44869</v>
          </cell>
        </row>
        <row r="1670">
          <cell r="C1670" t="str">
            <v>37540B</v>
          </cell>
          <cell r="K1670">
            <v>44869</v>
          </cell>
        </row>
        <row r="1671">
          <cell r="C1671" t="str">
            <v>5111A</v>
          </cell>
          <cell r="K1671">
            <v>44869</v>
          </cell>
        </row>
        <row r="1672">
          <cell r="C1672" t="str">
            <v>1172A</v>
          </cell>
          <cell r="K1672">
            <v>44869</v>
          </cell>
        </row>
        <row r="1673">
          <cell r="C1673" t="str">
            <v>1172A</v>
          </cell>
          <cell r="K1673">
            <v>44870</v>
          </cell>
        </row>
        <row r="1674">
          <cell r="C1674" t="str">
            <v>1172A</v>
          </cell>
          <cell r="K1674">
            <v>44870</v>
          </cell>
        </row>
        <row r="1675">
          <cell r="C1675" t="str">
            <v>3191U</v>
          </cell>
          <cell r="K1675">
            <v>44870</v>
          </cell>
        </row>
        <row r="1676">
          <cell r="C1676" t="str">
            <v>3752A3</v>
          </cell>
          <cell r="K1676">
            <v>44871</v>
          </cell>
        </row>
        <row r="1677">
          <cell r="C1677" t="str">
            <v>3752A3</v>
          </cell>
          <cell r="K1677">
            <v>44871</v>
          </cell>
        </row>
        <row r="1678">
          <cell r="C1678" t="str">
            <v>1172A</v>
          </cell>
          <cell r="K1678">
            <v>44871</v>
          </cell>
        </row>
        <row r="1679">
          <cell r="C1679" t="str">
            <v>37512AB3</v>
          </cell>
          <cell r="K1679">
            <v>44871</v>
          </cell>
        </row>
        <row r="1680">
          <cell r="C1680">
            <v>1175</v>
          </cell>
          <cell r="K1680">
            <v>44872</v>
          </cell>
        </row>
        <row r="1681">
          <cell r="C1681">
            <v>5091</v>
          </cell>
          <cell r="K1681">
            <v>44872</v>
          </cell>
        </row>
        <row r="1682">
          <cell r="C1682" t="str">
            <v>37540B</v>
          </cell>
          <cell r="K1682">
            <v>44872</v>
          </cell>
        </row>
        <row r="1683">
          <cell r="C1683" t="str">
            <v>1172A</v>
          </cell>
          <cell r="K1683">
            <v>44872</v>
          </cell>
        </row>
        <row r="1684">
          <cell r="C1684" t="str">
            <v>1172A</v>
          </cell>
          <cell r="K1684">
            <v>44873</v>
          </cell>
        </row>
        <row r="1685">
          <cell r="C1685">
            <v>5091</v>
          </cell>
          <cell r="K1685">
            <v>44873</v>
          </cell>
        </row>
        <row r="1686">
          <cell r="C1686" t="str">
            <v>1110A</v>
          </cell>
          <cell r="K1686">
            <v>44873</v>
          </cell>
        </row>
        <row r="1687">
          <cell r="C1687" t="str">
            <v>3752A1</v>
          </cell>
          <cell r="K1687">
            <v>44873</v>
          </cell>
        </row>
        <row r="1688">
          <cell r="C1688" t="str">
            <v>3752A3</v>
          </cell>
          <cell r="K1688">
            <v>44873</v>
          </cell>
        </row>
        <row r="1689">
          <cell r="C1689" t="str">
            <v>4011A</v>
          </cell>
          <cell r="K1689">
            <v>44873</v>
          </cell>
        </row>
        <row r="1690">
          <cell r="C1690">
            <v>4101</v>
          </cell>
          <cell r="K1690">
            <v>44873</v>
          </cell>
        </row>
        <row r="1691">
          <cell r="C1691" t="str">
            <v>3191U</v>
          </cell>
          <cell r="K1691">
            <v>44873</v>
          </cell>
        </row>
        <row r="1692">
          <cell r="C1692" t="str">
            <v>1172A</v>
          </cell>
          <cell r="K1692">
            <v>44874</v>
          </cell>
        </row>
        <row r="1693">
          <cell r="C1693" t="str">
            <v>1225C2A</v>
          </cell>
          <cell r="K1693">
            <v>44875</v>
          </cell>
        </row>
        <row r="1694">
          <cell r="C1694" t="str">
            <v>1172A</v>
          </cell>
          <cell r="K1694">
            <v>44876</v>
          </cell>
        </row>
        <row r="1695">
          <cell r="C1695" t="str">
            <v>1172A</v>
          </cell>
          <cell r="K1695">
            <v>44877</v>
          </cell>
        </row>
        <row r="1696">
          <cell r="C1696" t="str">
            <v>1180A</v>
          </cell>
          <cell r="K1696">
            <v>44877</v>
          </cell>
        </row>
        <row r="1697">
          <cell r="C1697" t="str">
            <v>3752A1</v>
          </cell>
          <cell r="K1697">
            <v>44878</v>
          </cell>
        </row>
        <row r="1698">
          <cell r="C1698" t="str">
            <v>5111A</v>
          </cell>
          <cell r="K1698">
            <v>44878</v>
          </cell>
        </row>
        <row r="1699">
          <cell r="C1699" t="str">
            <v>1172A</v>
          </cell>
          <cell r="K1699">
            <v>44879</v>
          </cell>
        </row>
        <row r="1700">
          <cell r="C1700" t="str">
            <v>1172A</v>
          </cell>
          <cell r="K1700">
            <v>44879</v>
          </cell>
        </row>
        <row r="1701">
          <cell r="C1701" t="str">
            <v>37540B</v>
          </cell>
          <cell r="K1701">
            <v>44880</v>
          </cell>
        </row>
        <row r="1702">
          <cell r="C1702" t="str">
            <v>1180A</v>
          </cell>
          <cell r="K1702">
            <v>44881</v>
          </cell>
        </row>
        <row r="1703">
          <cell r="C1703" t="str">
            <v>1127A</v>
          </cell>
          <cell r="K1703">
            <v>44881</v>
          </cell>
        </row>
        <row r="1704">
          <cell r="C1704" t="str">
            <v>1172A</v>
          </cell>
          <cell r="K1704">
            <v>44881</v>
          </cell>
        </row>
        <row r="1705">
          <cell r="C1705" t="str">
            <v>1172A</v>
          </cell>
          <cell r="K1705">
            <v>44881</v>
          </cell>
        </row>
        <row r="1706">
          <cell r="C1706" t="str">
            <v>3191U</v>
          </cell>
          <cell r="K1706">
            <v>44881</v>
          </cell>
        </row>
        <row r="1707">
          <cell r="C1707">
            <v>3751</v>
          </cell>
          <cell r="K1707">
            <v>44881</v>
          </cell>
        </row>
        <row r="1708">
          <cell r="C1708">
            <v>3751</v>
          </cell>
          <cell r="K1708">
            <v>44881</v>
          </cell>
        </row>
        <row r="1709">
          <cell r="C1709">
            <v>3751</v>
          </cell>
          <cell r="K1709">
            <v>44881</v>
          </cell>
        </row>
        <row r="1710">
          <cell r="C1710">
            <v>3751</v>
          </cell>
          <cell r="K1710">
            <v>44881</v>
          </cell>
        </row>
        <row r="1711">
          <cell r="C1711">
            <v>3759</v>
          </cell>
          <cell r="K1711">
            <v>44881</v>
          </cell>
        </row>
        <row r="1712">
          <cell r="C1712">
            <v>3759</v>
          </cell>
          <cell r="K1712">
            <v>44881</v>
          </cell>
        </row>
        <row r="1713">
          <cell r="C1713">
            <v>3759</v>
          </cell>
          <cell r="K1713">
            <v>44881</v>
          </cell>
        </row>
        <row r="1714">
          <cell r="C1714">
            <v>4021</v>
          </cell>
          <cell r="K1714">
            <v>44881</v>
          </cell>
        </row>
        <row r="1715">
          <cell r="C1715">
            <v>37513</v>
          </cell>
          <cell r="K1715">
            <v>44881</v>
          </cell>
        </row>
        <row r="1716">
          <cell r="C1716" t="str">
            <v/>
          </cell>
          <cell r="K1716">
            <v>44881</v>
          </cell>
        </row>
        <row r="1717">
          <cell r="C1717" t="str">
            <v>1402CII</v>
          </cell>
          <cell r="K1717">
            <v>44881</v>
          </cell>
        </row>
        <row r="1718">
          <cell r="C1718" t="str">
            <v>1402CII</v>
          </cell>
          <cell r="K1718">
            <v>44881</v>
          </cell>
        </row>
        <row r="1719">
          <cell r="C1719" t="str">
            <v>1402CII</v>
          </cell>
          <cell r="K1719">
            <v>44881</v>
          </cell>
        </row>
        <row r="1720">
          <cell r="C1720" t="str">
            <v>1402CII</v>
          </cell>
          <cell r="K1720">
            <v>44881</v>
          </cell>
        </row>
        <row r="1721">
          <cell r="C1721" t="str">
            <v>140C2II</v>
          </cell>
          <cell r="K1721">
            <v>44881</v>
          </cell>
        </row>
        <row r="1722">
          <cell r="C1722" t="str">
            <v>140C2II</v>
          </cell>
          <cell r="K1722">
            <v>44881</v>
          </cell>
        </row>
        <row r="1723">
          <cell r="C1723" t="str">
            <v>14F</v>
          </cell>
          <cell r="K1723">
            <v>44881</v>
          </cell>
        </row>
        <row r="1724">
          <cell r="C1724" t="str">
            <v>301C1A</v>
          </cell>
          <cell r="K1724">
            <v>44881</v>
          </cell>
        </row>
        <row r="1725">
          <cell r="C1725" t="str">
            <v>301C1A</v>
          </cell>
          <cell r="K1725">
            <v>44881</v>
          </cell>
        </row>
        <row r="1726">
          <cell r="C1726" t="str">
            <v>306B</v>
          </cell>
          <cell r="K1726">
            <v>44881</v>
          </cell>
        </row>
        <row r="1727">
          <cell r="C1727" t="str">
            <v>3191U</v>
          </cell>
          <cell r="K1727">
            <v>44881</v>
          </cell>
        </row>
        <row r="1728">
          <cell r="C1728" t="str">
            <v>37510E</v>
          </cell>
          <cell r="K1728">
            <v>44881</v>
          </cell>
        </row>
        <row r="1729">
          <cell r="C1729" t="str">
            <v>37513E</v>
          </cell>
          <cell r="K1729">
            <v>44881</v>
          </cell>
        </row>
        <row r="1730">
          <cell r="C1730" t="str">
            <v>3752A</v>
          </cell>
          <cell r="K1730">
            <v>44881</v>
          </cell>
        </row>
        <row r="1731">
          <cell r="C1731" t="str">
            <v>3752A1</v>
          </cell>
          <cell r="K1731">
            <v>44881</v>
          </cell>
        </row>
        <row r="1732">
          <cell r="C1732" t="str">
            <v>3752A1</v>
          </cell>
          <cell r="K1732">
            <v>44881</v>
          </cell>
        </row>
        <row r="1733">
          <cell r="C1733" t="str">
            <v>3752A3</v>
          </cell>
          <cell r="K1733">
            <v>44881</v>
          </cell>
        </row>
        <row r="1734">
          <cell r="C1734" t="str">
            <v>3752A4</v>
          </cell>
          <cell r="K1734">
            <v>44881</v>
          </cell>
        </row>
        <row r="1735">
          <cell r="C1735" t="str">
            <v>3752A4</v>
          </cell>
          <cell r="K1735">
            <v>44881</v>
          </cell>
        </row>
        <row r="1736">
          <cell r="C1736" t="str">
            <v>37535C</v>
          </cell>
          <cell r="K1736">
            <v>44881</v>
          </cell>
        </row>
        <row r="1737">
          <cell r="C1737" t="str">
            <v>37535C</v>
          </cell>
          <cell r="K1737">
            <v>44881</v>
          </cell>
        </row>
        <row r="1738">
          <cell r="C1738" t="str">
            <v>37540B</v>
          </cell>
          <cell r="K1738">
            <v>44881</v>
          </cell>
        </row>
        <row r="1739">
          <cell r="C1739" t="str">
            <v>37540B</v>
          </cell>
          <cell r="K1739">
            <v>44881</v>
          </cell>
        </row>
        <row r="1740">
          <cell r="C1740" t="str">
            <v>3761A</v>
          </cell>
          <cell r="K1740">
            <v>44881</v>
          </cell>
        </row>
        <row r="1741">
          <cell r="C1741" t="str">
            <v>3761A</v>
          </cell>
          <cell r="K1741">
            <v>44881</v>
          </cell>
        </row>
        <row r="1742">
          <cell r="C1742" t="str">
            <v>3761A</v>
          </cell>
          <cell r="K1742">
            <v>44881</v>
          </cell>
        </row>
        <row r="1743">
          <cell r="C1743" t="str">
            <v>380A1</v>
          </cell>
          <cell r="K1743">
            <v>44881</v>
          </cell>
        </row>
        <row r="1744">
          <cell r="C1744" t="str">
            <v>380A1</v>
          </cell>
          <cell r="K1744">
            <v>44881</v>
          </cell>
        </row>
        <row r="1745">
          <cell r="C1745" t="str">
            <v>4011A</v>
          </cell>
          <cell r="K1745">
            <v>44881</v>
          </cell>
        </row>
        <row r="1746">
          <cell r="C1746" t="str">
            <v>5111A</v>
          </cell>
          <cell r="K1746">
            <v>44881</v>
          </cell>
        </row>
        <row r="1747">
          <cell r="C1747" t="str">
            <v>1172A</v>
          </cell>
          <cell r="K1747">
            <v>44882</v>
          </cell>
        </row>
        <row r="1748">
          <cell r="C1748" t="str">
            <v>1172A</v>
          </cell>
          <cell r="K1748">
            <v>44882</v>
          </cell>
        </row>
        <row r="1749">
          <cell r="C1749" t="str">
            <v>37512AB2</v>
          </cell>
          <cell r="K1749">
            <v>44883</v>
          </cell>
        </row>
        <row r="1750">
          <cell r="C1750" t="str">
            <v/>
          </cell>
          <cell r="K1750">
            <v>44883</v>
          </cell>
        </row>
        <row r="1751">
          <cell r="C1751" t="str">
            <v>1160E</v>
          </cell>
          <cell r="K1751">
            <v>44885</v>
          </cell>
        </row>
        <row r="1752">
          <cell r="C1752" t="str">
            <v>37540B</v>
          </cell>
          <cell r="K1752">
            <v>44885</v>
          </cell>
        </row>
        <row r="1753">
          <cell r="C1753" t="str">
            <v>1110A</v>
          </cell>
          <cell r="K1753">
            <v>44886</v>
          </cell>
        </row>
        <row r="1754">
          <cell r="C1754" t="str">
            <v>1172A</v>
          </cell>
          <cell r="K1754">
            <v>44886</v>
          </cell>
        </row>
        <row r="1755">
          <cell r="C1755">
            <v>1225</v>
          </cell>
          <cell r="K1755">
            <v>44887</v>
          </cell>
        </row>
        <row r="1756">
          <cell r="C1756" t="str">
            <v>1172A</v>
          </cell>
          <cell r="K1756">
            <v>44887</v>
          </cell>
        </row>
        <row r="1757">
          <cell r="C1757" t="str">
            <v>1172A</v>
          </cell>
          <cell r="K1757">
            <v>44892</v>
          </cell>
        </row>
        <row r="1758">
          <cell r="C1758" t="str">
            <v>1172A</v>
          </cell>
          <cell r="K1758">
            <v>44892</v>
          </cell>
        </row>
        <row r="1759">
          <cell r="C1759" t="str">
            <v>1172A</v>
          </cell>
          <cell r="K1759">
            <v>44893</v>
          </cell>
        </row>
        <row r="1760">
          <cell r="C1760" t="str">
            <v>1172A</v>
          </cell>
          <cell r="K1760">
            <v>44893</v>
          </cell>
        </row>
        <row r="1761">
          <cell r="C1761" t="str">
            <v>4011A</v>
          </cell>
          <cell r="K1761">
            <v>44893</v>
          </cell>
        </row>
        <row r="1762">
          <cell r="C1762" t="str">
            <v>1402CII</v>
          </cell>
          <cell r="K1762">
            <v>44893</v>
          </cell>
        </row>
        <row r="1763">
          <cell r="C1763" t="str">
            <v>1402CVA</v>
          </cell>
          <cell r="K1763">
            <v>44893</v>
          </cell>
        </row>
        <row r="1764">
          <cell r="C1764" t="str">
            <v>301B2</v>
          </cell>
          <cell r="K1764">
            <v>44893</v>
          </cell>
        </row>
        <row r="1765">
          <cell r="C1765" t="str">
            <v>306B</v>
          </cell>
          <cell r="K1765">
            <v>44893</v>
          </cell>
        </row>
        <row r="1766">
          <cell r="C1766" t="str">
            <v>306B</v>
          </cell>
          <cell r="K1766">
            <v>44893</v>
          </cell>
        </row>
        <row r="1767">
          <cell r="C1767" t="str">
            <v>37510E</v>
          </cell>
          <cell r="K1767">
            <v>44893</v>
          </cell>
        </row>
        <row r="1768">
          <cell r="C1768" t="str">
            <v>37512AB1</v>
          </cell>
          <cell r="K1768">
            <v>44893</v>
          </cell>
        </row>
        <row r="1769">
          <cell r="C1769" t="str">
            <v>37512AB2</v>
          </cell>
          <cell r="K1769">
            <v>44893</v>
          </cell>
        </row>
        <row r="1770">
          <cell r="C1770" t="str">
            <v>3751B</v>
          </cell>
          <cell r="K1770">
            <v>44893</v>
          </cell>
        </row>
        <row r="1771">
          <cell r="C1771" t="str">
            <v>3751B</v>
          </cell>
          <cell r="K1771">
            <v>44893</v>
          </cell>
        </row>
        <row r="1772">
          <cell r="C1772" t="str">
            <v>3752A1</v>
          </cell>
          <cell r="K1772">
            <v>44893</v>
          </cell>
        </row>
        <row r="1773">
          <cell r="C1773" t="str">
            <v>37535C</v>
          </cell>
          <cell r="K1773">
            <v>44893</v>
          </cell>
        </row>
        <row r="1774">
          <cell r="C1774" t="str">
            <v>3771L</v>
          </cell>
          <cell r="K1774">
            <v>44893</v>
          </cell>
        </row>
        <row r="1775">
          <cell r="C1775">
            <v>37530</v>
          </cell>
          <cell r="K1775">
            <v>44894</v>
          </cell>
        </row>
        <row r="1776">
          <cell r="C1776" t="str">
            <v>1172A</v>
          </cell>
          <cell r="K1776">
            <v>44894</v>
          </cell>
        </row>
        <row r="1777">
          <cell r="C1777" t="str">
            <v>1151A</v>
          </cell>
          <cell r="K1777">
            <v>44894</v>
          </cell>
        </row>
        <row r="1778">
          <cell r="C1778" t="str">
            <v>3191P</v>
          </cell>
          <cell r="K1778">
            <v>44894</v>
          </cell>
        </row>
        <row r="1779">
          <cell r="C1779" t="str">
            <v>4011A</v>
          </cell>
          <cell r="K1779">
            <v>44894</v>
          </cell>
        </row>
        <row r="1780">
          <cell r="C1780" t="str">
            <v>1172A</v>
          </cell>
          <cell r="K1780">
            <v>44894</v>
          </cell>
        </row>
        <row r="1781">
          <cell r="C1781" t="str">
            <v>37512AB3</v>
          </cell>
          <cell r="K1781">
            <v>44894</v>
          </cell>
        </row>
        <row r="1782">
          <cell r="C1782">
            <v>37530</v>
          </cell>
          <cell r="K1782">
            <v>44895</v>
          </cell>
        </row>
        <row r="1783">
          <cell r="C1783">
            <v>37530</v>
          </cell>
          <cell r="K1783">
            <v>44895</v>
          </cell>
        </row>
        <row r="1784">
          <cell r="C1784" t="str">
            <v>1172A</v>
          </cell>
          <cell r="K1784">
            <v>44895</v>
          </cell>
        </row>
        <row r="1785">
          <cell r="C1785" t="str">
            <v>3752A</v>
          </cell>
          <cell r="K1785">
            <v>44895</v>
          </cell>
        </row>
        <row r="1786">
          <cell r="C1786" t="str">
            <v>1172A</v>
          </cell>
          <cell r="K1786">
            <v>44896</v>
          </cell>
        </row>
        <row r="1787">
          <cell r="C1787" t="str">
            <v>1172A</v>
          </cell>
          <cell r="K1787">
            <v>44896</v>
          </cell>
        </row>
        <row r="1788">
          <cell r="C1788" t="str">
            <v>3191U</v>
          </cell>
          <cell r="K1788">
            <v>44896</v>
          </cell>
        </row>
        <row r="1789">
          <cell r="C1789" t="str">
            <v>37512AB2</v>
          </cell>
          <cell r="K1789">
            <v>44896</v>
          </cell>
        </row>
        <row r="1790">
          <cell r="C1790" t="str">
            <v>1172A</v>
          </cell>
          <cell r="K1790">
            <v>44900</v>
          </cell>
        </row>
        <row r="1791">
          <cell r="C1791" t="str">
            <v>1172A</v>
          </cell>
          <cell r="K1791">
            <v>44900</v>
          </cell>
        </row>
        <row r="1792">
          <cell r="C1792" t="str">
            <v>306B</v>
          </cell>
          <cell r="K1792">
            <v>44900</v>
          </cell>
        </row>
        <row r="1793">
          <cell r="C1793" t="str">
            <v>3191U</v>
          </cell>
          <cell r="K1793">
            <v>44900</v>
          </cell>
        </row>
        <row r="1794">
          <cell r="C1794" t="str">
            <v>4011A</v>
          </cell>
          <cell r="K1794">
            <v>44900</v>
          </cell>
        </row>
        <row r="1795">
          <cell r="C1795" t="str">
            <v>1172A</v>
          </cell>
          <cell r="K1795">
            <v>44901</v>
          </cell>
        </row>
        <row r="1796">
          <cell r="C1796" t="str">
            <v>1172A</v>
          </cell>
          <cell r="K1796">
            <v>44901</v>
          </cell>
        </row>
        <row r="1797">
          <cell r="C1797" t="str">
            <v>1172A</v>
          </cell>
          <cell r="K1797">
            <v>44902</v>
          </cell>
        </row>
        <row r="1798">
          <cell r="C1798" t="str">
            <v>1172A</v>
          </cell>
          <cell r="K1798">
            <v>44902</v>
          </cell>
        </row>
        <row r="1799">
          <cell r="C1799" t="str">
            <v>306B</v>
          </cell>
          <cell r="K1799">
            <v>44902</v>
          </cell>
        </row>
        <row r="1800">
          <cell r="C1800" t="str">
            <v>37540B</v>
          </cell>
          <cell r="K1800">
            <v>44902</v>
          </cell>
        </row>
        <row r="1801">
          <cell r="C1801" t="str">
            <v>5111A</v>
          </cell>
          <cell r="K1801">
            <v>44902</v>
          </cell>
        </row>
        <row r="1802">
          <cell r="C1802" t="str">
            <v>1110A</v>
          </cell>
          <cell r="K1802">
            <v>44903</v>
          </cell>
        </row>
        <row r="1803">
          <cell r="C1803" t="str">
            <v>306B</v>
          </cell>
          <cell r="K1803">
            <v>44903</v>
          </cell>
        </row>
        <row r="1804">
          <cell r="C1804" t="str">
            <v>1172A</v>
          </cell>
          <cell r="K1804">
            <v>44904</v>
          </cell>
        </row>
        <row r="1805">
          <cell r="C1805" t="str">
            <v>1160E</v>
          </cell>
          <cell r="K1805">
            <v>44904</v>
          </cell>
        </row>
        <row r="1806">
          <cell r="C1806" t="str">
            <v>1160E</v>
          </cell>
          <cell r="K1806">
            <v>44905</v>
          </cell>
        </row>
        <row r="1807">
          <cell r="C1807" t="str">
            <v>306B</v>
          </cell>
          <cell r="K1807">
            <v>44905</v>
          </cell>
        </row>
        <row r="1808">
          <cell r="C1808" t="str">
            <v>37540B</v>
          </cell>
          <cell r="K1808">
            <v>44905</v>
          </cell>
        </row>
        <row r="1809">
          <cell r="C1809" t="str">
            <v>4011A</v>
          </cell>
          <cell r="K1809">
            <v>44905</v>
          </cell>
        </row>
        <row r="1810">
          <cell r="C1810">
            <v>3192</v>
          </cell>
          <cell r="K1810">
            <v>44905</v>
          </cell>
        </row>
        <row r="1811">
          <cell r="C1811" t="str">
            <v>1172A</v>
          </cell>
          <cell r="K1811">
            <v>44905</v>
          </cell>
        </row>
        <row r="1812">
          <cell r="C1812" t="str">
            <v>37512AB2</v>
          </cell>
          <cell r="K1812">
            <v>44907</v>
          </cell>
        </row>
        <row r="1813">
          <cell r="C1813" t="str">
            <v>1225C2A</v>
          </cell>
          <cell r="K1813">
            <v>44908</v>
          </cell>
        </row>
        <row r="1814">
          <cell r="C1814" t="str">
            <v>1172A</v>
          </cell>
          <cell r="K1814">
            <v>44908</v>
          </cell>
        </row>
        <row r="1815">
          <cell r="C1815" t="str">
            <v>1225C2A</v>
          </cell>
          <cell r="K1815">
            <v>44908</v>
          </cell>
        </row>
        <row r="1816">
          <cell r="C1816" t="str">
            <v>4011A</v>
          </cell>
          <cell r="K1816">
            <v>44908</v>
          </cell>
        </row>
        <row r="1817">
          <cell r="C1817" t="str">
            <v>1128A</v>
          </cell>
          <cell r="K1817">
            <v>44909</v>
          </cell>
        </row>
        <row r="1818">
          <cell r="C1818" t="str">
            <v>306B</v>
          </cell>
          <cell r="K1818">
            <v>44909</v>
          </cell>
        </row>
        <row r="1819">
          <cell r="C1819">
            <v>3192</v>
          </cell>
          <cell r="K1819">
            <v>44911</v>
          </cell>
        </row>
        <row r="1820">
          <cell r="C1820">
            <v>3751</v>
          </cell>
          <cell r="K1820">
            <v>44911</v>
          </cell>
        </row>
        <row r="1821">
          <cell r="C1821">
            <v>3751</v>
          </cell>
          <cell r="K1821">
            <v>44911</v>
          </cell>
        </row>
        <row r="1822">
          <cell r="C1822">
            <v>3751</v>
          </cell>
          <cell r="K1822">
            <v>44911</v>
          </cell>
        </row>
        <row r="1823">
          <cell r="C1823">
            <v>3759</v>
          </cell>
          <cell r="K1823">
            <v>44911</v>
          </cell>
        </row>
        <row r="1824">
          <cell r="C1824">
            <v>3759</v>
          </cell>
          <cell r="K1824">
            <v>44911</v>
          </cell>
        </row>
        <row r="1825">
          <cell r="C1825">
            <v>3761</v>
          </cell>
          <cell r="K1825">
            <v>44911</v>
          </cell>
        </row>
        <row r="1826">
          <cell r="C1826">
            <v>4021</v>
          </cell>
          <cell r="K1826">
            <v>44911</v>
          </cell>
        </row>
        <row r="1827">
          <cell r="C1827">
            <v>37517</v>
          </cell>
          <cell r="K1827">
            <v>44911</v>
          </cell>
        </row>
        <row r="1828">
          <cell r="C1828">
            <v>37518</v>
          </cell>
          <cell r="K1828">
            <v>44911</v>
          </cell>
        </row>
        <row r="1829">
          <cell r="C1829" t="str">
            <v>1402CII</v>
          </cell>
          <cell r="K1829">
            <v>44911</v>
          </cell>
        </row>
        <row r="1830">
          <cell r="C1830" t="str">
            <v>1402CII</v>
          </cell>
          <cell r="K1830">
            <v>44911</v>
          </cell>
        </row>
        <row r="1831">
          <cell r="C1831" t="str">
            <v>3191P</v>
          </cell>
          <cell r="K1831">
            <v>44911</v>
          </cell>
        </row>
        <row r="1832">
          <cell r="C1832" t="str">
            <v>37510E</v>
          </cell>
          <cell r="K1832">
            <v>44911</v>
          </cell>
        </row>
        <row r="1833">
          <cell r="C1833" t="str">
            <v>3752A</v>
          </cell>
          <cell r="K1833">
            <v>44911</v>
          </cell>
        </row>
        <row r="1834">
          <cell r="C1834" t="str">
            <v>3752A4</v>
          </cell>
          <cell r="K1834">
            <v>44911</v>
          </cell>
        </row>
        <row r="1835">
          <cell r="C1835" t="str">
            <v>37535C</v>
          </cell>
          <cell r="K1835">
            <v>44911</v>
          </cell>
        </row>
        <row r="1836">
          <cell r="C1836" t="str">
            <v>37535C</v>
          </cell>
          <cell r="K1836">
            <v>44911</v>
          </cell>
        </row>
        <row r="1837">
          <cell r="C1837" t="str">
            <v>37535C</v>
          </cell>
          <cell r="K1837">
            <v>44911</v>
          </cell>
        </row>
        <row r="1838">
          <cell r="C1838" t="str">
            <v>3761A</v>
          </cell>
          <cell r="K1838">
            <v>44911</v>
          </cell>
        </row>
        <row r="1839">
          <cell r="C1839" t="str">
            <v>380A1</v>
          </cell>
          <cell r="K1839">
            <v>44911</v>
          </cell>
        </row>
        <row r="1840">
          <cell r="C1840" t="str">
            <v>4011A</v>
          </cell>
          <cell r="K1840">
            <v>44911</v>
          </cell>
        </row>
        <row r="1841">
          <cell r="C1841" t="str">
            <v>3752A1</v>
          </cell>
          <cell r="K1841">
            <v>44912</v>
          </cell>
        </row>
        <row r="1842">
          <cell r="C1842" t="str">
            <v>3191U</v>
          </cell>
          <cell r="K1842">
            <v>44912</v>
          </cell>
        </row>
        <row r="1843">
          <cell r="C1843" t="str">
            <v>4011A</v>
          </cell>
          <cell r="K1843">
            <v>44912</v>
          </cell>
        </row>
        <row r="1844">
          <cell r="C1844" t="str">
            <v>5111A</v>
          </cell>
          <cell r="K1844">
            <v>44912</v>
          </cell>
        </row>
        <row r="1845">
          <cell r="C1845" t="str">
            <v>1172A</v>
          </cell>
          <cell r="K1845">
            <v>44912</v>
          </cell>
        </row>
        <row r="1846">
          <cell r="C1846" t="str">
            <v>1172A</v>
          </cell>
          <cell r="K1846">
            <v>44913</v>
          </cell>
        </row>
        <row r="1847">
          <cell r="C1847" t="str">
            <v>1110A</v>
          </cell>
          <cell r="K1847">
            <v>44915</v>
          </cell>
        </row>
        <row r="1848">
          <cell r="C1848" t="str">
            <v>37520I</v>
          </cell>
          <cell r="K1848">
            <v>44915</v>
          </cell>
        </row>
        <row r="1849">
          <cell r="C1849">
            <v>3759</v>
          </cell>
          <cell r="K1849">
            <v>44915</v>
          </cell>
        </row>
        <row r="1850">
          <cell r="C1850">
            <v>4021</v>
          </cell>
          <cell r="K1850">
            <v>44915</v>
          </cell>
        </row>
        <row r="1851">
          <cell r="C1851">
            <v>37517</v>
          </cell>
          <cell r="K1851">
            <v>44915</v>
          </cell>
        </row>
        <row r="1852">
          <cell r="C1852">
            <v>37518</v>
          </cell>
          <cell r="K1852">
            <v>44915</v>
          </cell>
        </row>
        <row r="1853">
          <cell r="C1853">
            <v>37522</v>
          </cell>
          <cell r="K1853">
            <v>44915</v>
          </cell>
        </row>
        <row r="1854">
          <cell r="C1854">
            <v>37522</v>
          </cell>
          <cell r="K1854">
            <v>44915</v>
          </cell>
        </row>
        <row r="1855">
          <cell r="C1855" t="str">
            <v>1225C2A</v>
          </cell>
          <cell r="K1855">
            <v>44915</v>
          </cell>
        </row>
        <row r="1856">
          <cell r="C1856" t="str">
            <v>1402CII</v>
          </cell>
          <cell r="K1856">
            <v>44915</v>
          </cell>
        </row>
        <row r="1857">
          <cell r="C1857" t="str">
            <v>1402CII</v>
          </cell>
          <cell r="K1857">
            <v>44915</v>
          </cell>
        </row>
        <row r="1858">
          <cell r="C1858" t="str">
            <v>1402CII</v>
          </cell>
          <cell r="K1858">
            <v>44915</v>
          </cell>
        </row>
        <row r="1859">
          <cell r="C1859" t="str">
            <v>1815A1</v>
          </cell>
          <cell r="K1859">
            <v>44915</v>
          </cell>
        </row>
        <row r="1860">
          <cell r="C1860" t="str">
            <v>306B</v>
          </cell>
          <cell r="K1860">
            <v>44915</v>
          </cell>
        </row>
        <row r="1861">
          <cell r="C1861" t="str">
            <v>37510E</v>
          </cell>
          <cell r="K1861">
            <v>44915</v>
          </cell>
        </row>
        <row r="1862">
          <cell r="C1862" t="str">
            <v>37510E</v>
          </cell>
          <cell r="K1862">
            <v>44915</v>
          </cell>
        </row>
        <row r="1863">
          <cell r="C1863" t="str">
            <v>37510E</v>
          </cell>
          <cell r="K1863">
            <v>44915</v>
          </cell>
        </row>
        <row r="1864">
          <cell r="C1864" t="str">
            <v>37518A</v>
          </cell>
          <cell r="K1864">
            <v>44915</v>
          </cell>
        </row>
        <row r="1865">
          <cell r="C1865" t="str">
            <v>3751A</v>
          </cell>
          <cell r="K1865">
            <v>44915</v>
          </cell>
        </row>
        <row r="1866">
          <cell r="C1866" t="str">
            <v>3751B</v>
          </cell>
          <cell r="K1866">
            <v>44915</v>
          </cell>
        </row>
        <row r="1867">
          <cell r="C1867" t="str">
            <v>3752A</v>
          </cell>
          <cell r="K1867">
            <v>44915</v>
          </cell>
        </row>
        <row r="1868">
          <cell r="C1868" t="str">
            <v>3752A</v>
          </cell>
          <cell r="K1868">
            <v>44915</v>
          </cell>
        </row>
        <row r="1869">
          <cell r="C1869" t="str">
            <v>3752A4</v>
          </cell>
          <cell r="K1869">
            <v>44915</v>
          </cell>
        </row>
        <row r="1870">
          <cell r="C1870" t="str">
            <v>3752A4</v>
          </cell>
          <cell r="K1870">
            <v>44915</v>
          </cell>
        </row>
        <row r="1871">
          <cell r="C1871" t="str">
            <v>3752A4</v>
          </cell>
          <cell r="K1871">
            <v>44915</v>
          </cell>
        </row>
        <row r="1872">
          <cell r="C1872" t="str">
            <v>3752A4</v>
          </cell>
          <cell r="K1872">
            <v>44915</v>
          </cell>
        </row>
        <row r="1873">
          <cell r="C1873" t="str">
            <v>3752A4</v>
          </cell>
          <cell r="K1873">
            <v>44915</v>
          </cell>
        </row>
        <row r="1874">
          <cell r="C1874" t="str">
            <v>37535C</v>
          </cell>
          <cell r="K1874">
            <v>44915</v>
          </cell>
        </row>
        <row r="1875">
          <cell r="C1875" t="str">
            <v>5097A</v>
          </cell>
          <cell r="K1875">
            <v>44915</v>
          </cell>
        </row>
        <row r="1876">
          <cell r="C1876" t="str">
            <v>5097A</v>
          </cell>
          <cell r="K1876">
            <v>44915</v>
          </cell>
        </row>
        <row r="1877">
          <cell r="C1877" t="str">
            <v>5097A</v>
          </cell>
          <cell r="K1877">
            <v>44915</v>
          </cell>
        </row>
        <row r="1878">
          <cell r="C1878" t="str">
            <v>5097A</v>
          </cell>
          <cell r="K1878">
            <v>44915</v>
          </cell>
        </row>
        <row r="1879">
          <cell r="C1879">
            <v>4101</v>
          </cell>
          <cell r="K1879">
            <v>44916</v>
          </cell>
        </row>
        <row r="1880">
          <cell r="C1880">
            <v>5091</v>
          </cell>
          <cell r="K1880">
            <v>44916</v>
          </cell>
        </row>
        <row r="1881">
          <cell r="C1881" t="str">
            <v>1225A</v>
          </cell>
          <cell r="K1881">
            <v>44916</v>
          </cell>
        </row>
        <row r="1882">
          <cell r="C1882" t="str">
            <v>1172A</v>
          </cell>
          <cell r="K1882">
            <v>44916</v>
          </cell>
        </row>
        <row r="1883">
          <cell r="C1883" t="str">
            <v>1180A</v>
          </cell>
          <cell r="K1883">
            <v>44918</v>
          </cell>
        </row>
        <row r="1884">
          <cell r="C1884" t="str">
            <v>3191U</v>
          </cell>
          <cell r="K1884">
            <v>44918</v>
          </cell>
        </row>
        <row r="1885">
          <cell r="C1885" t="str">
            <v>4011A</v>
          </cell>
          <cell r="K1885">
            <v>44918</v>
          </cell>
        </row>
        <row r="1886">
          <cell r="C1886" t="str">
            <v>1172A</v>
          </cell>
          <cell r="K1886">
            <v>44922</v>
          </cell>
        </row>
        <row r="1887">
          <cell r="C1887">
            <v>3192</v>
          </cell>
          <cell r="K1887">
            <v>44922</v>
          </cell>
        </row>
        <row r="1888">
          <cell r="C1888" t="str">
            <v>1172A</v>
          </cell>
          <cell r="K1888">
            <v>44923</v>
          </cell>
        </row>
        <row r="1889">
          <cell r="C1889" t="str">
            <v>1110A</v>
          </cell>
          <cell r="K1889">
            <v>44923</v>
          </cell>
        </row>
        <row r="1890">
          <cell r="C1890" t="str">
            <v>1225D1A</v>
          </cell>
          <cell r="K1890">
            <v>44923</v>
          </cell>
        </row>
        <row r="1891">
          <cell r="C1891" t="str">
            <v>3752A1</v>
          </cell>
          <cell r="K1891">
            <v>44923</v>
          </cell>
        </row>
        <row r="1892">
          <cell r="C1892" t="str">
            <v>4-07(B)(1)</v>
          </cell>
          <cell r="K1892">
            <v>44923</v>
          </cell>
        </row>
        <row r="1893">
          <cell r="C1893" t="str">
            <v>1172A</v>
          </cell>
          <cell r="K1893">
            <v>44925</v>
          </cell>
        </row>
        <row r="1894">
          <cell r="C1894" t="str">
            <v/>
          </cell>
          <cell r="K1894">
            <v>44925</v>
          </cell>
        </row>
        <row r="1895">
          <cell r="C1895">
            <v>3192</v>
          </cell>
          <cell r="K189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workbookViewId="0">
      <selection activeCell="D8" sqref="D8"/>
    </sheetView>
  </sheetViews>
  <sheetFormatPr defaultRowHeight="15"/>
  <cols>
    <col min="1" max="1" width="30.28515625" bestFit="1" customWidth="1"/>
    <col min="2" max="2" width="9.5703125" bestFit="1" customWidth="1"/>
    <col min="4" max="4" width="30.28515625" bestFit="1" customWidth="1"/>
    <col min="5" max="5" width="9.5703125" bestFit="1" customWidth="1"/>
    <col min="7" max="7" width="30.28515625" bestFit="1" customWidth="1"/>
    <col min="8" max="8" width="9.5703125" bestFit="1" customWidth="1"/>
    <col min="10" max="10" width="30.28515625" bestFit="1" customWidth="1"/>
    <col min="11" max="11" width="9.5703125" bestFit="1" customWidth="1"/>
    <col min="13" max="13" width="30.28515625" bestFit="1" customWidth="1"/>
    <col min="14" max="14" width="9.5703125" bestFit="1" customWidth="1"/>
    <col min="16" max="16" width="30.28515625" bestFit="1" customWidth="1"/>
    <col min="17" max="17" width="9.5703125" bestFit="1" customWidth="1"/>
    <col min="19" max="19" width="30.28515625" bestFit="1" customWidth="1"/>
    <col min="20" max="20" width="9.5703125" bestFit="1" customWidth="1"/>
    <col min="22" max="22" width="30.28515625" bestFit="1" customWidth="1"/>
    <col min="23" max="23" width="9.5703125" bestFit="1" customWidth="1"/>
    <col min="25" max="25" width="30.28515625" bestFit="1" customWidth="1"/>
    <col min="26" max="26" width="9.5703125" bestFit="1" customWidth="1"/>
    <col min="28" max="28" width="30.28515625" bestFit="1" customWidth="1"/>
    <col min="29" max="29" width="9.5703125" bestFit="1" customWidth="1"/>
    <col min="31" max="31" width="30.28515625" bestFit="1" customWidth="1"/>
    <col min="32" max="32" width="9.5703125" bestFit="1" customWidth="1"/>
    <col min="34" max="34" width="30.28515625" bestFit="1" customWidth="1"/>
    <col min="35" max="35" width="9.5703125" bestFit="1" customWidth="1"/>
  </cols>
  <sheetData>
    <row r="1" spans="1:36" ht="19.5" thickBot="1">
      <c r="A1" s="1" t="s">
        <v>0</v>
      </c>
      <c r="B1" s="1"/>
      <c r="C1" s="1"/>
      <c r="D1" s="1" t="s">
        <v>0</v>
      </c>
      <c r="E1" s="1"/>
      <c r="F1" s="1"/>
      <c r="G1" s="1" t="s">
        <v>0</v>
      </c>
      <c r="H1" s="1"/>
      <c r="I1" s="1"/>
      <c r="J1" s="1" t="s">
        <v>0</v>
      </c>
      <c r="K1" s="1"/>
      <c r="L1" s="1"/>
      <c r="M1" s="1" t="s">
        <v>0</v>
      </c>
      <c r="N1" s="1"/>
      <c r="O1" s="1"/>
      <c r="P1" s="1" t="s">
        <v>0</v>
      </c>
      <c r="Q1" s="1"/>
      <c r="R1" s="1"/>
      <c r="S1" s="1" t="s">
        <v>0</v>
      </c>
      <c r="T1" s="1"/>
      <c r="U1" s="1"/>
      <c r="V1" s="1" t="s">
        <v>0</v>
      </c>
      <c r="W1" s="1"/>
      <c r="X1" s="1"/>
      <c r="Y1" s="1" t="s">
        <v>0</v>
      </c>
      <c r="Z1" s="1"/>
      <c r="AA1" s="1"/>
      <c r="AB1" s="1" t="s">
        <v>0</v>
      </c>
      <c r="AC1" s="1"/>
      <c r="AD1" s="1"/>
      <c r="AE1" s="1" t="s">
        <v>0</v>
      </c>
      <c r="AF1" s="1"/>
      <c r="AG1" s="1"/>
      <c r="AH1" s="1" t="s">
        <v>0</v>
      </c>
      <c r="AI1" s="1"/>
      <c r="AJ1" s="1"/>
    </row>
    <row r="2" spans="1:36" ht="15.75" thickBot="1">
      <c r="A2" s="2">
        <v>44562</v>
      </c>
      <c r="B2" s="3"/>
      <c r="C2" s="4"/>
      <c r="D2" s="2">
        <v>44593</v>
      </c>
      <c r="E2" s="3"/>
      <c r="F2" s="4"/>
      <c r="G2" s="2">
        <v>44621</v>
      </c>
      <c r="H2" s="3"/>
      <c r="I2" s="4"/>
      <c r="J2" s="2">
        <v>44652</v>
      </c>
      <c r="K2" s="3"/>
      <c r="L2" s="4"/>
      <c r="M2" s="2">
        <v>44682</v>
      </c>
      <c r="N2" s="3"/>
      <c r="O2" s="4"/>
      <c r="P2" s="2">
        <v>44713</v>
      </c>
      <c r="Q2" s="3"/>
      <c r="R2" s="4"/>
      <c r="S2" s="2">
        <v>44743</v>
      </c>
      <c r="T2" s="3"/>
      <c r="U2" s="4"/>
      <c r="V2" s="2">
        <v>44774</v>
      </c>
      <c r="W2" s="3"/>
      <c r="X2" s="4"/>
      <c r="Y2" s="2">
        <v>44805</v>
      </c>
      <c r="Z2" s="3"/>
      <c r="AA2" s="4"/>
      <c r="AB2" s="2">
        <v>44835</v>
      </c>
      <c r="AC2" s="3"/>
      <c r="AD2" s="4"/>
      <c r="AE2" s="2">
        <v>44866</v>
      </c>
      <c r="AF2" s="3"/>
      <c r="AG2" s="4"/>
      <c r="AH2" s="2">
        <v>44896</v>
      </c>
      <c r="AI2" s="3"/>
      <c r="AJ2" s="4"/>
    </row>
    <row r="3" spans="1:36" ht="15.75" thickBot="1">
      <c r="A3" s="5" t="s">
        <v>1</v>
      </c>
      <c r="B3" s="6" t="s">
        <v>2</v>
      </c>
      <c r="C3" s="7" t="s">
        <v>3</v>
      </c>
      <c r="D3" s="5" t="s">
        <v>1</v>
      </c>
      <c r="E3" s="6" t="s">
        <v>2</v>
      </c>
      <c r="F3" s="7" t="s">
        <v>3</v>
      </c>
      <c r="G3" s="5" t="s">
        <v>1</v>
      </c>
      <c r="H3" s="6" t="s">
        <v>2</v>
      </c>
      <c r="I3" s="7" t="s">
        <v>3</v>
      </c>
      <c r="J3" s="5" t="s">
        <v>1</v>
      </c>
      <c r="K3" s="6" t="s">
        <v>2</v>
      </c>
      <c r="L3" s="7" t="s">
        <v>3</v>
      </c>
      <c r="M3" s="5" t="s">
        <v>1</v>
      </c>
      <c r="N3" s="6" t="s">
        <v>2</v>
      </c>
      <c r="O3" s="7" t="s">
        <v>3</v>
      </c>
      <c r="P3" s="5" t="s">
        <v>1</v>
      </c>
      <c r="Q3" s="6" t="s">
        <v>2</v>
      </c>
      <c r="R3" s="7" t="s">
        <v>3</v>
      </c>
      <c r="S3" s="5" t="s">
        <v>1</v>
      </c>
      <c r="T3" s="6" t="s">
        <v>2</v>
      </c>
      <c r="U3" s="7" t="s">
        <v>3</v>
      </c>
      <c r="V3" s="5" t="s">
        <v>1</v>
      </c>
      <c r="W3" s="6" t="s">
        <v>2</v>
      </c>
      <c r="X3" s="7" t="s">
        <v>3</v>
      </c>
      <c r="Y3" s="5" t="s">
        <v>1</v>
      </c>
      <c r="Z3" s="6" t="s">
        <v>2</v>
      </c>
      <c r="AA3" s="7" t="s">
        <v>3</v>
      </c>
      <c r="AB3" s="5" t="s">
        <v>1</v>
      </c>
      <c r="AC3" s="6" t="s">
        <v>2</v>
      </c>
      <c r="AD3" s="7" t="s">
        <v>3</v>
      </c>
      <c r="AE3" s="5" t="s">
        <v>1</v>
      </c>
      <c r="AF3" s="6" t="s">
        <v>2</v>
      </c>
      <c r="AG3" s="7" t="s">
        <v>3</v>
      </c>
      <c r="AH3" s="5" t="s">
        <v>1</v>
      </c>
      <c r="AI3" s="6" t="s">
        <v>2</v>
      </c>
      <c r="AJ3" s="7" t="s">
        <v>3</v>
      </c>
    </row>
    <row r="4" spans="1:36">
      <c r="A4" s="8" t="s">
        <v>4</v>
      </c>
      <c r="B4" s="9">
        <f>COUNTIFS('[1]MASTER LIST'!K:K,"&gt;=1/1/2022",'[1]MASTER LIST'!K:K,"&lt;=1/31/2022",'[1]MASTER LIST'!C:C,"1211*")</f>
        <v>0</v>
      </c>
      <c r="C4" s="10">
        <f>B4</f>
        <v>0</v>
      </c>
      <c r="D4" s="8" t="s">
        <v>4</v>
      </c>
      <c r="E4" s="9">
        <f>COUNTIFS('[1]MASTER LIST'!$K:$K,"&gt;=2/1/2022",'[1]MASTER LIST'!$K:$K,"&lt;=2/28/2022",'[1]MASTER LIST'!$C:$C,"1211*")</f>
        <v>0</v>
      </c>
      <c r="F4" s="10">
        <f>E4+C4</f>
        <v>0</v>
      </c>
      <c r="G4" s="8" t="s">
        <v>4</v>
      </c>
      <c r="H4" s="9">
        <f>COUNTIFS('[1]MASTER LIST'!$K:$K,"&gt;=3/1/2022",'[1]MASTER LIST'!$K:$K,"&lt;=3/31/2022",'[1]MASTER LIST'!$C:$C,"1211*")</f>
        <v>0</v>
      </c>
      <c r="I4" s="10">
        <f>H4+F4</f>
        <v>0</v>
      </c>
      <c r="J4" s="8" t="s">
        <v>4</v>
      </c>
      <c r="K4" s="9">
        <f>COUNTIFS('[1]MASTER LIST'!$K:$K,"&gt;=4/1/2022",'[1]MASTER LIST'!$K:$K,"&lt;=4/30/2022",'[1]MASTER LIST'!$C:$C,"1211*")</f>
        <v>0</v>
      </c>
      <c r="L4" s="10">
        <f>K4+I4</f>
        <v>0</v>
      </c>
      <c r="M4" s="8" t="s">
        <v>4</v>
      </c>
      <c r="N4" s="9">
        <f>COUNTIFS('[1]MASTER LIST'!$K:$K,"&gt;=5/1/2022",'[1]MASTER LIST'!$K:$K,"&lt;=5/31/2022",'[1]MASTER LIST'!$C:$C,"1211*")</f>
        <v>0</v>
      </c>
      <c r="O4" s="10">
        <f>N4+L4</f>
        <v>0</v>
      </c>
      <c r="P4" s="8" t="s">
        <v>4</v>
      </c>
      <c r="Q4" s="9">
        <f>COUNTIFS('[1]MASTER LIST'!$K:$K,"&gt;=6/1/2022",'[1]MASTER LIST'!$K:$K,"&lt;=6/30/2022",'[1]MASTER LIST'!$C:$C,"1211*")</f>
        <v>1</v>
      </c>
      <c r="R4" s="10">
        <f>Q4+O4</f>
        <v>1</v>
      </c>
      <c r="S4" s="8" t="s">
        <v>4</v>
      </c>
      <c r="T4" s="9">
        <f>COUNTIFS('[1]MASTER LIST'!$K:$K,"&gt;=7/1/2022",'[1]MASTER LIST'!$K:$K,"&lt;=7/31/2022",'[1]MASTER LIST'!$C:$C,"1211*")</f>
        <v>0</v>
      </c>
      <c r="U4" s="10">
        <f>T4+R4</f>
        <v>1</v>
      </c>
      <c r="V4" s="8" t="s">
        <v>4</v>
      </c>
      <c r="W4" s="9">
        <f>COUNTIFS('[1]MASTER LIST'!$K:$K,"&gt;=8/1/2022",'[1]MASTER LIST'!$K:$K,"&lt;=8/31/2022",'[1]MASTER LIST'!$C:$C,"1211*")</f>
        <v>0</v>
      </c>
      <c r="X4" s="10">
        <f>W4+U4</f>
        <v>1</v>
      </c>
      <c r="Y4" s="8" t="s">
        <v>4</v>
      </c>
      <c r="Z4" s="9">
        <f>COUNTIFS('[1]MASTER LIST'!$K:$K,"&gt;=9/1/2022",'[1]MASTER LIST'!$K:$K,"&lt;=9/30/2022",'[1]MASTER LIST'!$C:$C,"1211*")</f>
        <v>0</v>
      </c>
      <c r="AA4" s="10">
        <f>Z4+X4</f>
        <v>1</v>
      </c>
      <c r="AB4" s="8" t="s">
        <v>4</v>
      </c>
      <c r="AC4" s="9">
        <f>COUNTIFS('[1]MASTER LIST'!$K:$K,"&gt;=10/1/2022",'[1]MASTER LIST'!$K:$K,"&lt;=10/31/2022",'[1]MASTER LIST'!$C:$C,"1211*")</f>
        <v>0</v>
      </c>
      <c r="AD4" s="10">
        <f>AC4+AA4</f>
        <v>1</v>
      </c>
      <c r="AE4" s="8" t="s">
        <v>4</v>
      </c>
      <c r="AF4" s="9">
        <f>COUNTIFS('[1]MASTER LIST'!$K:$K,"&gt;=11/1/2022",'[1]MASTER LIST'!$K:$K,"&lt;=11/30/2022",'[1]MASTER LIST'!$C:$C,"1211*")</f>
        <v>0</v>
      </c>
      <c r="AG4" s="10">
        <f>AF4+AD4</f>
        <v>1</v>
      </c>
      <c r="AH4" s="8" t="s">
        <v>4</v>
      </c>
      <c r="AI4" s="9">
        <f>COUNTIFS('[1]MASTER LIST'!$K:$K,"&gt;=12/1/2022",'[1]MASTER LIST'!$K:$K,"&lt;=12/31/2022",'[1]MASTER LIST'!$C:$C,"1211*")</f>
        <v>0</v>
      </c>
      <c r="AJ4" s="10">
        <f>AI4+AG4</f>
        <v>1</v>
      </c>
    </row>
    <row r="5" spans="1:36">
      <c r="A5" s="8" t="s">
        <v>5</v>
      </c>
      <c r="B5" s="11">
        <f>COUNTIFS('[1]MASTER LIST'!K:K,"&gt;=1/1/2022",'[1]MASTER LIST'!K:K,"&lt;=1/31/2022",'[1]MASTER LIST'!C:C,"*37540B*",'[1]MASTER LIST'!C:C,"*37540A*")</f>
        <v>0</v>
      </c>
      <c r="C5" s="12">
        <f t="shared" ref="C5:C34" si="0">B5</f>
        <v>0</v>
      </c>
      <c r="D5" s="8" t="s">
        <v>5</v>
      </c>
      <c r="E5" s="11">
        <f>COUNTIFS('[1]MASTER LIST'!$K:$K,"&gt;=2/1/2022",'[1]MASTER LIST'!$K:$K,"&lt;=2/28/2022",'[1]MASTER LIST'!$C:$C,"*37540B*",'[1]MASTER LIST'!$C:$C,"*37540A*")</f>
        <v>0</v>
      </c>
      <c r="F5" s="12">
        <f t="shared" ref="F5:F34" si="1">E5+C5</f>
        <v>0</v>
      </c>
      <c r="G5" s="8" t="s">
        <v>5</v>
      </c>
      <c r="H5" s="11">
        <f>COUNTIFS('[1]MASTER LIST'!$K:$K,"&gt;=3/1/2022",'[1]MASTER LIST'!$K:$K,"&lt;=3/31/2022",'[1]MASTER LIST'!$C:$C,"*37540B*",'[1]MASTER LIST'!$C:$C,"*37540A*")</f>
        <v>0</v>
      </c>
      <c r="I5" s="12">
        <f t="shared" ref="I5:I34" si="2">H5+F5</f>
        <v>0</v>
      </c>
      <c r="J5" s="8" t="s">
        <v>5</v>
      </c>
      <c r="K5" s="11">
        <f>COUNTIFS('[1]MASTER LIST'!$K:$K,"&gt;=4/1/2022",'[1]MASTER LIST'!$K:$K,"&lt;=4/30/2022",'[1]MASTER LIST'!$C:$C,"*37540B*",'[1]MASTER LIST'!$C:$C,"*37540A*")</f>
        <v>0</v>
      </c>
      <c r="L5" s="12">
        <f t="shared" ref="L5:L34" si="3">K5+I5</f>
        <v>0</v>
      </c>
      <c r="M5" s="8" t="s">
        <v>5</v>
      </c>
      <c r="N5" s="11">
        <f>COUNTIFS('[1]MASTER LIST'!$K:$K,"&gt;=5/1/2022",'[1]MASTER LIST'!$K:$K,"&lt;=5/31/2022",'[1]MASTER LIST'!$C:$C,"*37540B*",'[1]MASTER LIST'!$C:$C,"*37540A*")</f>
        <v>0</v>
      </c>
      <c r="O5" s="12">
        <f t="shared" ref="O5:O34" si="4">N5+L5</f>
        <v>0</v>
      </c>
      <c r="P5" s="8" t="s">
        <v>5</v>
      </c>
      <c r="Q5" s="11">
        <f>COUNTIFS('[1]MASTER LIST'!$K:$K,"&gt;=6/1/2022",'[1]MASTER LIST'!$K:$K,"&lt;=6/30/2022",'[1]MASTER LIST'!$C:$C,"*37540B*",'[1]MASTER LIST'!$C:$C,"*37540A*")</f>
        <v>0</v>
      </c>
      <c r="R5" s="12">
        <f t="shared" ref="R5:R34" si="5">Q5+O5</f>
        <v>0</v>
      </c>
      <c r="S5" s="8" t="s">
        <v>5</v>
      </c>
      <c r="T5" s="11">
        <f>COUNTIFS('[1]MASTER LIST'!$K:$K,"&gt;=7/1/2022",'[1]MASTER LIST'!$K:$K,"&lt;=7/31/2022",'[1]MASTER LIST'!$C:$C,"*37540B*",'[1]MASTER LIST'!$C:$C,"*37540A*")</f>
        <v>0</v>
      </c>
      <c r="U5" s="12">
        <f t="shared" ref="U5:U34" si="6">T5+R5</f>
        <v>0</v>
      </c>
      <c r="V5" s="8" t="s">
        <v>5</v>
      </c>
      <c r="W5" s="11">
        <f>COUNTIFS('[1]MASTER LIST'!$K:$K,"&gt;=8/1/2022",'[1]MASTER LIST'!$K:$K,"&lt;=8/31/2022",'[1]MASTER LIST'!$C:$C,"*37540B*",'[1]MASTER LIST'!$C:$C,"*37540A*")</f>
        <v>0</v>
      </c>
      <c r="X5" s="12">
        <f t="shared" ref="X5:X34" si="7">W5+U5</f>
        <v>0</v>
      </c>
      <c r="Y5" s="8" t="s">
        <v>5</v>
      </c>
      <c r="Z5" s="11">
        <f>COUNTIFS('[1]MASTER LIST'!$K:$K,"&gt;=9/1/2022",'[1]MASTER LIST'!$K:$K,"&lt;=9/30/2022",'[1]MASTER LIST'!$C:$C,"*37540B*",'[1]MASTER LIST'!$C:$C,"*37540A*")</f>
        <v>0</v>
      </c>
      <c r="AA5" s="12">
        <f t="shared" ref="AA5:AA34" si="8">Z5+X5</f>
        <v>0</v>
      </c>
      <c r="AB5" s="8" t="s">
        <v>5</v>
      </c>
      <c r="AC5" s="11">
        <f>COUNTIFS('[1]MASTER LIST'!$K:$K,"&gt;=10/1/2022",'[1]MASTER LIST'!$K:$K,"&lt;=10/31/2022",'[1]MASTER LIST'!$C:$C,"*37540B*",'[1]MASTER LIST'!$C:$C,"*37540A*")</f>
        <v>0</v>
      </c>
      <c r="AD5" s="12">
        <f t="shared" ref="AD5:AD34" si="9">AC5+AA5</f>
        <v>0</v>
      </c>
      <c r="AE5" s="8" t="s">
        <v>5</v>
      </c>
      <c r="AF5" s="11">
        <f>COUNTIFS('[1]MASTER LIST'!$K:$K,"&gt;=11/1/2022",'[1]MASTER LIST'!$K:$K,"&lt;=11/30/2022",'[1]MASTER LIST'!$C:$C,"*37540B*",'[1]MASTER LIST'!$C:$C,"*37540A*")</f>
        <v>0</v>
      </c>
      <c r="AG5" s="12">
        <f t="shared" ref="AG5:AG34" si="10">AF5+AD5</f>
        <v>0</v>
      </c>
      <c r="AH5" s="8" t="s">
        <v>5</v>
      </c>
      <c r="AI5" s="11">
        <f>COUNTIFS('[1]MASTER LIST'!$K:$K,"&gt;=12/1/2022",'[1]MASTER LIST'!$K:$K,"&lt;=12/31/2022",'[1]MASTER LIST'!$C:$C,"*37540B*",'[1]MASTER LIST'!$C:$C,"*37540A*")</f>
        <v>0</v>
      </c>
      <c r="AJ5" s="12">
        <f t="shared" ref="AJ5:AJ34" si="11">AI5+AG5</f>
        <v>0</v>
      </c>
    </row>
    <row r="6" spans="1:36">
      <c r="A6" s="8" t="s">
        <v>6</v>
      </c>
      <c r="B6" s="11">
        <f>COUNTIFS('[1]MASTER LIST'!K:K,"&gt;=1/1/2022",'[1]MASTER LIST'!K:K,"&lt;=1/31/2022",'[1]MASTER LIST'!C:C,"1225*")</f>
        <v>1</v>
      </c>
      <c r="C6" s="12">
        <f t="shared" si="0"/>
        <v>1</v>
      </c>
      <c r="D6" s="8" t="s">
        <v>6</v>
      </c>
      <c r="E6" s="11">
        <f>COUNTIFS('[1]MASTER LIST'!$K:$K,"&gt;=2/1/2022",'[1]MASTER LIST'!$K:$K,"&lt;=2/28/2022",'[1]MASTER LIST'!$C:$C,"1225*")</f>
        <v>1</v>
      </c>
      <c r="F6" s="12">
        <f t="shared" si="1"/>
        <v>2</v>
      </c>
      <c r="G6" s="8" t="s">
        <v>6</v>
      </c>
      <c r="H6" s="11">
        <f>COUNTIFS('[1]MASTER LIST'!$K:$K,"&gt;=3/1/2022",'[1]MASTER LIST'!$K:$K,"&lt;=3/31/2022",'[1]MASTER LIST'!$C:$C,"1225*")</f>
        <v>0</v>
      </c>
      <c r="I6" s="12">
        <f t="shared" si="2"/>
        <v>2</v>
      </c>
      <c r="J6" s="8" t="s">
        <v>6</v>
      </c>
      <c r="K6" s="11">
        <f>COUNTIFS('[1]MASTER LIST'!$K:$K,"&gt;=4/1/2022",'[1]MASTER LIST'!$K:$K,"&lt;=4/30/2022",'[1]MASTER LIST'!$C:$C,"1225*")</f>
        <v>1</v>
      </c>
      <c r="L6" s="12">
        <f t="shared" si="3"/>
        <v>3</v>
      </c>
      <c r="M6" s="8" t="s">
        <v>6</v>
      </c>
      <c r="N6" s="11">
        <f>COUNTIFS('[1]MASTER LIST'!$K:$K,"&gt;=5/1/2022",'[1]MASTER LIST'!$K:$K,"&lt;=5/31/2022",'[1]MASTER LIST'!$C:$C,"1225*")</f>
        <v>2</v>
      </c>
      <c r="O6" s="12">
        <f t="shared" si="4"/>
        <v>5</v>
      </c>
      <c r="P6" s="8" t="s">
        <v>6</v>
      </c>
      <c r="Q6" s="11">
        <f>COUNTIFS('[1]MASTER LIST'!$K:$K,"&gt;=6/1/2022",'[1]MASTER LIST'!$K:$K,"&lt;=6/30/2022",'[1]MASTER LIST'!$C:$C,"1225*")</f>
        <v>3</v>
      </c>
      <c r="R6" s="12">
        <f t="shared" si="5"/>
        <v>8</v>
      </c>
      <c r="S6" s="8" t="s">
        <v>6</v>
      </c>
      <c r="T6" s="11">
        <f>COUNTIFS('[1]MASTER LIST'!$K:$K,"&gt;=7/1/2022",'[1]MASTER LIST'!$K:$K,"&lt;=7/31/2022",'[1]MASTER LIST'!$C:$C,"1225*")</f>
        <v>3</v>
      </c>
      <c r="U6" s="12">
        <f t="shared" si="6"/>
        <v>11</v>
      </c>
      <c r="V6" s="8" t="s">
        <v>6</v>
      </c>
      <c r="W6" s="11">
        <f>COUNTIFS('[1]MASTER LIST'!$K:$K,"&gt;=8/1/2022",'[1]MASTER LIST'!$K:$K,"&lt;=8/31/2022",'[1]MASTER LIST'!$C:$C,"1225*")</f>
        <v>2</v>
      </c>
      <c r="X6" s="12">
        <f t="shared" si="7"/>
        <v>13</v>
      </c>
      <c r="Y6" s="8" t="s">
        <v>6</v>
      </c>
      <c r="Z6" s="11">
        <f>COUNTIFS('[1]MASTER LIST'!$K:$K,"&gt;=9/1/2022",'[1]MASTER LIST'!$K:$K,"&lt;=9/30/2022",'[1]MASTER LIST'!$C:$C,"1225*")</f>
        <v>0</v>
      </c>
      <c r="AA6" s="12">
        <f t="shared" si="8"/>
        <v>13</v>
      </c>
      <c r="AB6" s="8" t="s">
        <v>6</v>
      </c>
      <c r="AC6" s="11">
        <f>COUNTIFS('[1]MASTER LIST'!$K:$K,"&gt;=10/1/2022",'[1]MASTER LIST'!$K:$K,"&lt;=10/31/2022",'[1]MASTER LIST'!$C:$C,"1225*")</f>
        <v>3</v>
      </c>
      <c r="AD6" s="12">
        <f t="shared" si="9"/>
        <v>16</v>
      </c>
      <c r="AE6" s="8" t="s">
        <v>6</v>
      </c>
      <c r="AF6" s="11">
        <f>COUNTIFS('[1]MASTER LIST'!$K:$K,"&gt;=11/1/2022",'[1]MASTER LIST'!$K:$K,"&lt;=11/30/2022",'[1]MASTER LIST'!$C:$C,"1225*")</f>
        <v>1</v>
      </c>
      <c r="AG6" s="12">
        <f t="shared" si="10"/>
        <v>17</v>
      </c>
      <c r="AH6" s="8" t="s">
        <v>6</v>
      </c>
      <c r="AI6" s="11">
        <f>COUNTIFS('[1]MASTER LIST'!$K:$K,"&gt;=12/1/2022",'[1]MASTER LIST'!$K:$K,"&lt;=12/31/2022",'[1]MASTER LIST'!$C:$C,"1225*")</f>
        <v>5</v>
      </c>
      <c r="AJ6" s="12">
        <f t="shared" si="11"/>
        <v>22</v>
      </c>
    </row>
    <row r="7" spans="1:36">
      <c r="A7" s="8" t="s">
        <v>7</v>
      </c>
      <c r="B7" s="11">
        <f>COUNTIFS('[1]MASTER LIST'!K:K,"&gt;=1/1/2022",'[1]MASTER LIST'!K:K,"&lt;=1/31/2022",'[1]MASTER LIST'!C:C,"*3754*")</f>
        <v>4</v>
      </c>
      <c r="C7" s="12">
        <f t="shared" si="0"/>
        <v>4</v>
      </c>
      <c r="D7" s="8" t="s">
        <v>7</v>
      </c>
      <c r="E7" s="11">
        <f>COUNTIFS('[1]MASTER LIST'!$K:$K,"&gt;=2/1/2022",'[1]MASTER LIST'!$K:$K,"&lt;=2/28/2022",'[1]MASTER LIST'!$C:$C,"*3754*")</f>
        <v>9</v>
      </c>
      <c r="F7" s="12">
        <f t="shared" si="1"/>
        <v>13</v>
      </c>
      <c r="G7" s="8" t="s">
        <v>7</v>
      </c>
      <c r="H7" s="11">
        <f>COUNTIFS('[1]MASTER LIST'!$K:$K,"&gt;=3/1/2022",'[1]MASTER LIST'!$K:$K,"&lt;=3/31/2022",'[1]MASTER LIST'!$C:$C,"*3754*")</f>
        <v>8</v>
      </c>
      <c r="I7" s="12">
        <f t="shared" si="2"/>
        <v>21</v>
      </c>
      <c r="J7" s="8" t="s">
        <v>7</v>
      </c>
      <c r="K7" s="11">
        <f>COUNTIFS('[1]MASTER LIST'!$K:$K,"&gt;=4/1/2022",'[1]MASTER LIST'!$K:$K,"&lt;=4/30/2022",'[1]MASTER LIST'!$C:$C,"*3754*")</f>
        <v>12</v>
      </c>
      <c r="L7" s="12">
        <f t="shared" si="3"/>
        <v>33</v>
      </c>
      <c r="M7" s="8" t="s">
        <v>7</v>
      </c>
      <c r="N7" s="11">
        <f>COUNTIFS('[1]MASTER LIST'!$K:$K,"&gt;=5/1/2022",'[1]MASTER LIST'!$K:$K,"&lt;=5/31/2022",'[1]MASTER LIST'!$C:$C,"*3754*")</f>
        <v>10</v>
      </c>
      <c r="O7" s="12">
        <f t="shared" si="4"/>
        <v>43</v>
      </c>
      <c r="P7" s="8" t="s">
        <v>7</v>
      </c>
      <c r="Q7" s="11">
        <f>COUNTIFS('[1]MASTER LIST'!$K:$K,"&gt;=6/1/2022",'[1]MASTER LIST'!$K:$K,"&lt;=6/30/2022",'[1]MASTER LIST'!$C:$C,"*3754*")</f>
        <v>7</v>
      </c>
      <c r="R7" s="12">
        <f t="shared" si="5"/>
        <v>50</v>
      </c>
      <c r="S7" s="8" t="s">
        <v>7</v>
      </c>
      <c r="T7" s="11">
        <f>COUNTIFS('[1]MASTER LIST'!$K:$K,"&gt;=7/1/2022",'[1]MASTER LIST'!$K:$K,"&lt;=7/31/2022",'[1]MASTER LIST'!$C:$C,"*3754*")</f>
        <v>6</v>
      </c>
      <c r="U7" s="12">
        <f t="shared" si="6"/>
        <v>56</v>
      </c>
      <c r="V7" s="8" t="s">
        <v>7</v>
      </c>
      <c r="W7" s="11">
        <f>COUNTIFS('[1]MASTER LIST'!$K:$K,"&gt;=8/1/2022",'[1]MASTER LIST'!$K:$K,"&lt;=8/31/2022",'[1]MASTER LIST'!$C:$C,"*3754*")</f>
        <v>6</v>
      </c>
      <c r="X7" s="12">
        <f t="shared" si="7"/>
        <v>62</v>
      </c>
      <c r="Y7" s="8" t="s">
        <v>7</v>
      </c>
      <c r="Z7" s="11">
        <f>COUNTIFS('[1]MASTER LIST'!$K:$K,"&gt;=9/1/2022",'[1]MASTER LIST'!$K:$K,"&lt;=9/30/2022",'[1]MASTER LIST'!$C:$C,"*3754*")</f>
        <v>6</v>
      </c>
      <c r="AA7" s="12">
        <f t="shared" si="8"/>
        <v>68</v>
      </c>
      <c r="AB7" s="8" t="s">
        <v>7</v>
      </c>
      <c r="AC7" s="11">
        <f>COUNTIFS('[1]MASTER LIST'!$K:$K,"&gt;=10/1/2022",'[1]MASTER LIST'!$K:$K,"&lt;=10/31/2022",'[1]MASTER LIST'!$C:$C,"*3754*")</f>
        <v>3</v>
      </c>
      <c r="AD7" s="12">
        <f t="shared" si="9"/>
        <v>71</v>
      </c>
      <c r="AE7" s="8" t="s">
        <v>7</v>
      </c>
      <c r="AF7" s="11">
        <f>COUNTIFS('[1]MASTER LIST'!$K:$K,"&gt;=11/1/2022",'[1]MASTER LIST'!$K:$K,"&lt;=11/30/2022",'[1]MASTER LIST'!$C:$C,"*3754*")</f>
        <v>7</v>
      </c>
      <c r="AG7" s="12">
        <f t="shared" si="10"/>
        <v>78</v>
      </c>
      <c r="AH7" s="8" t="s">
        <v>7</v>
      </c>
      <c r="AI7" s="11">
        <f>COUNTIFS('[1]MASTER LIST'!$K:$K,"&gt;=12/1/2022",'[1]MASTER LIST'!$K:$K,"&lt;=12/31/2022",'[1]MASTER LIST'!$C:$C,"*3754*")</f>
        <v>2</v>
      </c>
      <c r="AJ7" s="12">
        <f t="shared" si="11"/>
        <v>80</v>
      </c>
    </row>
    <row r="8" spans="1:36">
      <c r="A8" s="8" t="s">
        <v>8</v>
      </c>
      <c r="B8" s="11">
        <f>COUNTIFS('[1]MASTER LIST'!K:K,"&gt;=1/1/2022",'[1]MASTER LIST'!K:K,"&lt;=1/31/2022",'[1]MASTER LIST'!C:C,"1111*")</f>
        <v>1</v>
      </c>
      <c r="C8" s="12">
        <f t="shared" si="0"/>
        <v>1</v>
      </c>
      <c r="D8" s="8" t="s">
        <v>8</v>
      </c>
      <c r="E8" s="11">
        <f>COUNTIFS('[1]MASTER LIST'!$K:$K,"&gt;=2/1/2022",'[1]MASTER LIST'!$K:$K,"&lt;=2/28/2022",'[1]MASTER LIST'!$C:$C,"1111*")</f>
        <v>4</v>
      </c>
      <c r="F8" s="12">
        <f t="shared" si="1"/>
        <v>5</v>
      </c>
      <c r="G8" s="8" t="s">
        <v>8</v>
      </c>
      <c r="H8" s="11">
        <f>COUNTIFS('[1]MASTER LIST'!$K:$K,"&gt;=3/1/2022",'[1]MASTER LIST'!$K:$K,"&lt;=3/31/2022",'[1]MASTER LIST'!$C:$C,"1111*")</f>
        <v>1</v>
      </c>
      <c r="I8" s="12">
        <f t="shared" si="2"/>
        <v>6</v>
      </c>
      <c r="J8" s="8" t="s">
        <v>8</v>
      </c>
      <c r="K8" s="11">
        <f>COUNTIFS('[1]MASTER LIST'!$K:$K,"&gt;=4/1/2022",'[1]MASTER LIST'!$K:$K,"&lt;=4/30/2022",'[1]MASTER LIST'!$C:$C,"1111*")</f>
        <v>1</v>
      </c>
      <c r="L8" s="12">
        <f t="shared" si="3"/>
        <v>7</v>
      </c>
      <c r="M8" s="8" t="s">
        <v>8</v>
      </c>
      <c r="N8" s="11">
        <f>COUNTIFS('[1]MASTER LIST'!$K:$K,"&gt;=5/1/2022",'[1]MASTER LIST'!$K:$K,"&lt;=5/31/2022",'[1]MASTER LIST'!$C:$C,"1111*")</f>
        <v>1</v>
      </c>
      <c r="O8" s="12">
        <f t="shared" si="4"/>
        <v>8</v>
      </c>
      <c r="P8" s="8" t="s">
        <v>8</v>
      </c>
      <c r="Q8" s="11">
        <f>COUNTIFS('[1]MASTER LIST'!$K:$K,"&gt;=6/1/2022",'[1]MASTER LIST'!$K:$K,"&lt;=6/30/2022",'[1]MASTER LIST'!$C:$C,"1111*")</f>
        <v>2</v>
      </c>
      <c r="R8" s="12">
        <f t="shared" si="5"/>
        <v>10</v>
      </c>
      <c r="S8" s="8" t="s">
        <v>8</v>
      </c>
      <c r="T8" s="11">
        <f>COUNTIFS('[1]MASTER LIST'!$K:$K,"&gt;=7/1/2022",'[1]MASTER LIST'!$K:$K,"&lt;=7/31/2022",'[1]MASTER LIST'!$C:$C,"1111*")</f>
        <v>1</v>
      </c>
      <c r="U8" s="12">
        <f t="shared" si="6"/>
        <v>11</v>
      </c>
      <c r="V8" s="8" t="s">
        <v>8</v>
      </c>
      <c r="W8" s="11">
        <f>COUNTIFS('[1]MASTER LIST'!$K:$K,"&gt;=8/1/2022",'[1]MASTER LIST'!$K:$K,"&lt;=8/31/2022",'[1]MASTER LIST'!$C:$C,"1111*")</f>
        <v>2</v>
      </c>
      <c r="X8" s="12">
        <f t="shared" si="7"/>
        <v>13</v>
      </c>
      <c r="Y8" s="8" t="s">
        <v>8</v>
      </c>
      <c r="Z8" s="11">
        <f>COUNTIFS('[1]MASTER LIST'!$K:$K,"&gt;=9/1/2022",'[1]MASTER LIST'!$K:$K,"&lt;=9/30/2022",'[1]MASTER LIST'!$C:$C,"1111*")</f>
        <v>3</v>
      </c>
      <c r="AA8" s="12">
        <f t="shared" si="8"/>
        <v>16</v>
      </c>
      <c r="AB8" s="8" t="s">
        <v>8</v>
      </c>
      <c r="AC8" s="11">
        <f>COUNTIFS('[1]MASTER LIST'!$K:$K,"&gt;=10/1/2022",'[1]MASTER LIST'!$K:$K,"&lt;=10/31/2022",'[1]MASTER LIST'!$C:$C,"1111*")</f>
        <v>4</v>
      </c>
      <c r="AD8" s="12">
        <f t="shared" si="9"/>
        <v>20</v>
      </c>
      <c r="AE8" s="8" t="s">
        <v>8</v>
      </c>
      <c r="AF8" s="11">
        <f>COUNTIFS('[1]MASTER LIST'!$K:$K,"&gt;=11/1/2022",'[1]MASTER LIST'!$K:$K,"&lt;=11/30/2022",'[1]MASTER LIST'!$C:$C,"1111*")</f>
        <v>0</v>
      </c>
      <c r="AG8" s="12">
        <f t="shared" si="10"/>
        <v>20</v>
      </c>
      <c r="AH8" s="8" t="s">
        <v>8</v>
      </c>
      <c r="AI8" s="11">
        <f>COUNTIFS('[1]MASTER LIST'!$K:$K,"&gt;=12/1/2022",'[1]MASTER LIST'!$K:$K,"&lt;=12/31/2022",'[1]MASTER LIST'!$C:$C,"1111*")</f>
        <v>0</v>
      </c>
      <c r="AJ8" s="12">
        <f t="shared" si="11"/>
        <v>20</v>
      </c>
    </row>
    <row r="9" spans="1:36">
      <c r="A9" s="8" t="s">
        <v>9</v>
      </c>
      <c r="B9" s="11">
        <f>COUNTIFS('[1]MASTER LIST'!K:K,"&gt;=1/1/2022",'[1]MASTER LIST'!K:K,"&lt;=1/31/2022",'[1]MASTER LIST'!C:C,"1172*")</f>
        <v>34</v>
      </c>
      <c r="C9" s="12">
        <f t="shared" si="0"/>
        <v>34</v>
      </c>
      <c r="D9" s="8" t="s">
        <v>9</v>
      </c>
      <c r="E9" s="11">
        <f>COUNTIFS('[1]MASTER LIST'!$K:$K,"&gt;=2/1/2022",'[1]MASTER LIST'!$K:$K,"&lt;=2/28/2022",'[1]MASTER LIST'!$C:$C,"1172*")</f>
        <v>29</v>
      </c>
      <c r="F9" s="12">
        <f t="shared" si="1"/>
        <v>63</v>
      </c>
      <c r="G9" s="8" t="s">
        <v>9</v>
      </c>
      <c r="H9" s="11">
        <f>COUNTIFS('[1]MASTER LIST'!$K:$K,"&gt;=3/1/2022",'[1]MASTER LIST'!$K:$K,"&lt;=3/31/2022",'[1]MASTER LIST'!$C:$C,"1172*")</f>
        <v>44</v>
      </c>
      <c r="I9" s="12">
        <f t="shared" si="2"/>
        <v>107</v>
      </c>
      <c r="J9" s="8" t="s">
        <v>9</v>
      </c>
      <c r="K9" s="11">
        <f>COUNTIFS('[1]MASTER LIST'!$K:$K,"&gt;=4/1/2022",'[1]MASTER LIST'!$K:$K,"&lt;=4/30/2022",'[1]MASTER LIST'!$C:$C,"1172*")</f>
        <v>39</v>
      </c>
      <c r="L9" s="12">
        <f t="shared" si="3"/>
        <v>146</v>
      </c>
      <c r="M9" s="8" t="s">
        <v>9</v>
      </c>
      <c r="N9" s="11">
        <f>COUNTIFS('[1]MASTER LIST'!$K:$K,"&gt;=5/1/2022",'[1]MASTER LIST'!$K:$K,"&lt;=5/31/2022",'[1]MASTER LIST'!$C:$C,"1172*")</f>
        <v>49</v>
      </c>
      <c r="O9" s="12">
        <f t="shared" si="4"/>
        <v>195</v>
      </c>
      <c r="P9" s="8" t="s">
        <v>9</v>
      </c>
      <c r="Q9" s="11">
        <f>COUNTIFS('[1]MASTER LIST'!$K:$K,"&gt;=6/1/2022",'[1]MASTER LIST'!$K:$K,"&lt;=6/30/2022",'[1]MASTER LIST'!$C:$C,"1172*")</f>
        <v>43</v>
      </c>
      <c r="R9" s="12">
        <f t="shared" si="5"/>
        <v>238</v>
      </c>
      <c r="S9" s="8" t="s">
        <v>9</v>
      </c>
      <c r="T9" s="11">
        <f>COUNTIFS('[1]MASTER LIST'!$K:$K,"&gt;=7/1/2022",'[1]MASTER LIST'!$K:$K,"&lt;=7/31/2022",'[1]MASTER LIST'!$C:$C,"1172*")</f>
        <v>45</v>
      </c>
      <c r="U9" s="12">
        <f t="shared" si="6"/>
        <v>283</v>
      </c>
      <c r="V9" s="8" t="s">
        <v>9</v>
      </c>
      <c r="W9" s="11">
        <f>COUNTIFS('[1]MASTER LIST'!$K:$K,"&gt;=8/1/2022",'[1]MASTER LIST'!$K:$K,"&lt;=8/31/2022",'[1]MASTER LIST'!$C:$C,"1172*")</f>
        <v>46</v>
      </c>
      <c r="X9" s="12">
        <f t="shared" si="7"/>
        <v>329</v>
      </c>
      <c r="Y9" s="8" t="s">
        <v>9</v>
      </c>
      <c r="Z9" s="11">
        <f>COUNTIFS('[1]MASTER LIST'!$K:$K,"&gt;=9/1/2022",'[1]MASTER LIST'!$K:$K,"&lt;=9/30/2022",'[1]MASTER LIST'!$C:$C,"1172*")</f>
        <v>29</v>
      </c>
      <c r="AA9" s="12">
        <f t="shared" si="8"/>
        <v>358</v>
      </c>
      <c r="AB9" s="8" t="s">
        <v>9</v>
      </c>
      <c r="AC9" s="11">
        <f>COUNTIFS('[1]MASTER LIST'!$K:$K,"&gt;=10/1/2022",'[1]MASTER LIST'!$K:$K,"&lt;=10/31/2022",'[1]MASTER LIST'!$C:$C,"1172*")</f>
        <v>36</v>
      </c>
      <c r="AD9" s="12">
        <f t="shared" si="9"/>
        <v>394</v>
      </c>
      <c r="AE9" s="8" t="s">
        <v>9</v>
      </c>
      <c r="AF9" s="11">
        <f>COUNTIFS('[1]MASTER LIST'!$K:$K,"&gt;=11/1/2022",'[1]MASTER LIST'!$K:$K,"&lt;=11/30/2022",'[1]MASTER LIST'!$C:$C,"1172*")</f>
        <v>28</v>
      </c>
      <c r="AG9" s="12">
        <f t="shared" si="10"/>
        <v>422</v>
      </c>
      <c r="AH9" s="8" t="s">
        <v>9</v>
      </c>
      <c r="AI9" s="11">
        <f>COUNTIFS('[1]MASTER LIST'!$K:$K,"&gt;=12/1/2022",'[1]MASTER LIST'!$K:$K,"&lt;=12/31/2022",'[1]MASTER LIST'!$C:$C,"1172*")</f>
        <v>17</v>
      </c>
      <c r="AJ9" s="12">
        <f t="shared" si="11"/>
        <v>439</v>
      </c>
    </row>
    <row r="10" spans="1:36">
      <c r="A10" s="8" t="s">
        <v>10</v>
      </c>
      <c r="B10" s="11">
        <f>COUNTIFS('[1]MASTER LIST'!K:K,"&gt;=1/1/2022",'[1]MASTER LIST'!K:K,"&lt;=1/31/2022",'[1]MASTER LIST'!C:C,"376*",'[1]MASTER LIST'!C:C,"380A*",'[1]MASTER LIST'!C:C,"393*",'[1]MASTER LIST'!C:C,"391*",'[1]MASTER LIST'!C:C,"392*",'[1]MASTER LIST'!C:C,"396*",'[1]MASTER LIST'!C:C,"380*",'[1]MASTER LIST'!C:C,"1402*",'[1]MASTER LIST'!C:C,"37535C*")</f>
        <v>0</v>
      </c>
      <c r="C10" s="12">
        <f t="shared" si="0"/>
        <v>0</v>
      </c>
      <c r="D10" s="8" t="s">
        <v>10</v>
      </c>
      <c r="E10" s="11">
        <f>COUNTIFS('[1]MASTER LIST'!$K:$K,"&gt;=2/1/2022",'[1]MASTER LIST'!$K:$K,"&lt;=2/28/2022",'[1]MASTER LIST'!$C:$C,"376*",'[1]MASTER LIST'!$C:$C,"380A*",'[1]MASTER LIST'!$C:$C,"393*",'[1]MASTER LIST'!$C:$C,"391*",'[1]MASTER LIST'!$C:$C,"392*",'[1]MASTER LIST'!$C:$C,"396*",'[1]MASTER LIST'!$C:$C,"380*",'[1]MASTER LIST'!$C:$C,"1402*",'[1]MASTER LIST'!$C:$C,"37535C*")</f>
        <v>0</v>
      </c>
      <c r="F10" s="12">
        <f t="shared" si="1"/>
        <v>0</v>
      </c>
      <c r="G10" s="8" t="s">
        <v>10</v>
      </c>
      <c r="H10" s="11">
        <f>COUNTIFS('[1]MASTER LIST'!$K:$K,"&gt;=3/1/2022",'[1]MASTER LIST'!$K:$K,"&lt;=3/31/2022",'[1]MASTER LIST'!$C:$C,"376*",'[1]MASTER LIST'!$C:$C,"380A*",'[1]MASTER LIST'!$C:$C,"393*",'[1]MASTER LIST'!$C:$C,"391*",'[1]MASTER LIST'!$C:$C,"392*",'[1]MASTER LIST'!$C:$C,"396*",'[1]MASTER LIST'!$C:$C,"380*",'[1]MASTER LIST'!$C:$C,"1402*",'[1]MASTER LIST'!$C:$C,"37535C*")</f>
        <v>0</v>
      </c>
      <c r="I10" s="12">
        <f t="shared" si="2"/>
        <v>0</v>
      </c>
      <c r="J10" s="8" t="s">
        <v>10</v>
      </c>
      <c r="K10" s="11">
        <f>COUNTIFS('[1]MASTER LIST'!$K:$K,"&gt;=4/1/2022",'[1]MASTER LIST'!$K:$K,"&lt;=4/30/2022",'[1]MASTER LIST'!$C:$C,"376*",'[1]MASTER LIST'!$C:$C,"380A*",'[1]MASTER LIST'!$C:$C,"393*",'[1]MASTER LIST'!$C:$C,"391*",'[1]MASTER LIST'!$C:$C,"392*",'[1]MASTER LIST'!$C:$C,"396*",'[1]MASTER LIST'!$C:$C,"380*",'[1]MASTER LIST'!$C:$C,"1402*",'[1]MASTER LIST'!$C:$C,"37535C*")</f>
        <v>0</v>
      </c>
      <c r="L10" s="12">
        <f t="shared" si="3"/>
        <v>0</v>
      </c>
      <c r="M10" s="8" t="s">
        <v>10</v>
      </c>
      <c r="N10" s="11">
        <f>COUNTIFS('[1]MASTER LIST'!$K:$K,"&gt;=5/1/2022",'[1]MASTER LIST'!$K:$K,"&lt;=5/31/2022",'[1]MASTER LIST'!$C:$C,"376*",'[1]MASTER LIST'!$C:$C,"380A*",'[1]MASTER LIST'!$C:$C,"393*",'[1]MASTER LIST'!$C:$C,"391*",'[1]MASTER LIST'!$C:$C,"392*",'[1]MASTER LIST'!$C:$C,"396*",'[1]MASTER LIST'!$C:$C,"380*",'[1]MASTER LIST'!$C:$C,"1402*",'[1]MASTER LIST'!$C:$C,"37535C*")</f>
        <v>0</v>
      </c>
      <c r="O10" s="12">
        <f t="shared" si="4"/>
        <v>0</v>
      </c>
      <c r="P10" s="8" t="s">
        <v>10</v>
      </c>
      <c r="Q10" s="11">
        <f>COUNTIFS('[1]MASTER LIST'!$K:$K,"&gt;=6/1/2022",'[1]MASTER LIST'!$K:$K,"&lt;=6/30/2022",'[1]MASTER LIST'!$C:$C,"376*",'[1]MASTER LIST'!$C:$C,"380A*",'[1]MASTER LIST'!$C:$C,"393*",'[1]MASTER LIST'!$C:$C,"391*",'[1]MASTER LIST'!$C:$C,"392*",'[1]MASTER LIST'!$C:$C,"396*",'[1]MASTER LIST'!$C:$C,"380*",'[1]MASTER LIST'!$C:$C,"1402*",'[1]MASTER LIST'!$C:$C,"37535C*")</f>
        <v>0</v>
      </c>
      <c r="R10" s="12">
        <f t="shared" si="5"/>
        <v>0</v>
      </c>
      <c r="S10" s="8" t="s">
        <v>10</v>
      </c>
      <c r="T10" s="11">
        <f>COUNTIFS('[1]MASTER LIST'!$K:$K,"&gt;=7/1/2022",'[1]MASTER LIST'!$K:$K,"&lt;=7/31/2022",'[1]MASTER LIST'!$C:$C,"376*",'[1]MASTER LIST'!$C:$C,"380A*",'[1]MASTER LIST'!$C:$C,"393*",'[1]MASTER LIST'!$C:$C,"391*",'[1]MASTER LIST'!$C:$C,"392*",'[1]MASTER LIST'!$C:$C,"396*",'[1]MASTER LIST'!$C:$C,"380*",'[1]MASTER LIST'!$C:$C,"1402*",'[1]MASTER LIST'!$C:$C,"37535C*")</f>
        <v>0</v>
      </c>
      <c r="U10" s="12">
        <f t="shared" si="6"/>
        <v>0</v>
      </c>
      <c r="V10" s="8" t="s">
        <v>10</v>
      </c>
      <c r="W10" s="11">
        <f>COUNTIFS('[1]MASTER LIST'!$K:$K,"&gt;=8/1/2022",'[1]MASTER LIST'!$K:$K,"&lt;=8/31/2022",'[1]MASTER LIST'!$C:$C,"376*",'[1]MASTER LIST'!$C:$C,"380A*",'[1]MASTER LIST'!$C:$C,"393*",'[1]MASTER LIST'!$C:$C,"391*",'[1]MASTER LIST'!$C:$C,"392*",'[1]MASTER LIST'!$C:$C,"396*",'[1]MASTER LIST'!$C:$C,"380*",'[1]MASTER LIST'!$C:$C,"1402*",'[1]MASTER LIST'!$C:$C,"37535C*")</f>
        <v>0</v>
      </c>
      <c r="X10" s="12">
        <f t="shared" si="7"/>
        <v>0</v>
      </c>
      <c r="Y10" s="8" t="s">
        <v>10</v>
      </c>
      <c r="Z10" s="11">
        <f>COUNTIFS('[1]MASTER LIST'!$K:$K,"&gt;=9/1/2022",'[1]MASTER LIST'!$K:$K,"&lt;=9/30/2022",'[1]MASTER LIST'!$C:$C,"376*",'[1]MASTER LIST'!$C:$C,"380A*",'[1]MASTER LIST'!$C:$C,"393*",'[1]MASTER LIST'!$C:$C,"391*",'[1]MASTER LIST'!$C:$C,"392*",'[1]MASTER LIST'!$C:$C,"396*",'[1]MASTER LIST'!$C:$C,"380*",'[1]MASTER LIST'!$C:$C,"1402*",'[1]MASTER LIST'!$C:$C,"37535C*")</f>
        <v>0</v>
      </c>
      <c r="AA10" s="12">
        <f t="shared" si="8"/>
        <v>0</v>
      </c>
      <c r="AB10" s="8" t="s">
        <v>10</v>
      </c>
      <c r="AC10" s="11">
        <f>COUNTIFS('[1]MASTER LIST'!$K:$K,"&gt;=10/1/2022",'[1]MASTER LIST'!$K:$K,"&lt;=10/31/2022",'[1]MASTER LIST'!$C:$C,"376*",'[1]MASTER LIST'!$C:$C,"380A*",'[1]MASTER LIST'!$C:$C,"393*",'[1]MASTER LIST'!$C:$C,"391*",'[1]MASTER LIST'!$C:$C,"392*",'[1]MASTER LIST'!$C:$C,"396*",'[1]MASTER LIST'!$C:$C,"380*",'[1]MASTER LIST'!$C:$C,"1402*",'[1]MASTER LIST'!$C:$C,"37535C*")</f>
        <v>0</v>
      </c>
      <c r="AD10" s="12">
        <f t="shared" si="9"/>
        <v>0</v>
      </c>
      <c r="AE10" s="8" t="s">
        <v>10</v>
      </c>
      <c r="AF10" s="11">
        <f>COUNTIFS('[1]MASTER LIST'!$K:$K,"&gt;=11/1/2022",'[1]MASTER LIST'!$K:$K,"&lt;=11/30/2022",'[1]MASTER LIST'!$C:$C,"376*",'[1]MASTER LIST'!$C:$C,"380A*",'[1]MASTER LIST'!$C:$C,"393*",'[1]MASTER LIST'!$C:$C,"391*",'[1]MASTER LIST'!$C:$C,"392*",'[1]MASTER LIST'!$C:$C,"396*",'[1]MASTER LIST'!$C:$C,"380*",'[1]MASTER LIST'!$C:$C,"1402*",'[1]MASTER LIST'!$C:$C,"37535C*")</f>
        <v>0</v>
      </c>
      <c r="AG10" s="12">
        <f t="shared" si="10"/>
        <v>0</v>
      </c>
      <c r="AH10" s="8" t="s">
        <v>10</v>
      </c>
      <c r="AI10" s="11">
        <f>COUNTIFS('[1]MASTER LIST'!$K:$K,"&gt;=12/1/2022",'[1]MASTER LIST'!$K:$K,"&lt;=12/31/2022",'[1]MASTER LIST'!$C:$C,"376*",'[1]MASTER LIST'!$C:$C,"380A*",'[1]MASTER LIST'!$C:$C,"393*",'[1]MASTER LIST'!$C:$C,"391*",'[1]MASTER LIST'!$C:$C,"392*",'[1]MASTER LIST'!$C:$C,"396*",'[1]MASTER LIST'!$C:$C,"380*",'[1]MASTER LIST'!$C:$C,"1402*",'[1]MASTER LIST'!$C:$C,"37535C*")</f>
        <v>0</v>
      </c>
      <c r="AJ10" s="12">
        <f t="shared" si="11"/>
        <v>0</v>
      </c>
    </row>
    <row r="11" spans="1:36">
      <c r="A11" s="8" t="s">
        <v>11</v>
      </c>
      <c r="B11" s="11">
        <f>COUNTIFS('[1]MASTER LIST'!K:K,"&gt;=1/1/2022",'[1]MASTER LIST'!K:K,"&lt;=1/31/2022",'[1]MASTER LIST'!C:C,"600*")</f>
        <v>0</v>
      </c>
      <c r="C11" s="12">
        <f t="shared" si="0"/>
        <v>0</v>
      </c>
      <c r="D11" s="8" t="s">
        <v>11</v>
      </c>
      <c r="E11" s="11">
        <f>COUNTIFS('[1]MASTER LIST'!$K:$K,"&gt;=2/1/2022",'[1]MASTER LIST'!$K:$K,"&lt;=2/28/2022",'[1]MASTER LIST'!$C:$C,"600*")</f>
        <v>2</v>
      </c>
      <c r="F11" s="12">
        <f t="shared" si="1"/>
        <v>2</v>
      </c>
      <c r="G11" s="8" t="s">
        <v>11</v>
      </c>
      <c r="H11" s="11">
        <f>COUNTIFS('[1]MASTER LIST'!$K:$K,"&gt;=3/1/2022",'[1]MASTER LIST'!$K:$K,"&lt;=3/31/2022",'[1]MASTER LIST'!$C:$C,"600*")</f>
        <v>1</v>
      </c>
      <c r="I11" s="12">
        <f t="shared" si="2"/>
        <v>3</v>
      </c>
      <c r="J11" s="8" t="s">
        <v>11</v>
      </c>
      <c r="K11" s="11">
        <f>COUNTIFS('[1]MASTER LIST'!$K:$K,"&gt;=4/1/2022",'[1]MASTER LIST'!$K:$K,"&lt;=4/30/2022",'[1]MASTER LIST'!$C:$C,"600*")</f>
        <v>0</v>
      </c>
      <c r="L11" s="12">
        <f t="shared" si="3"/>
        <v>3</v>
      </c>
      <c r="M11" s="8" t="s">
        <v>11</v>
      </c>
      <c r="N11" s="11">
        <f>COUNTIFS('[1]MASTER LIST'!$K:$K,"&gt;=5/1/2022",'[1]MASTER LIST'!$K:$K,"&lt;=5/31/2022",'[1]MASTER LIST'!$C:$C,"600*")</f>
        <v>0</v>
      </c>
      <c r="O11" s="12">
        <f t="shared" si="4"/>
        <v>3</v>
      </c>
      <c r="P11" s="8" t="s">
        <v>11</v>
      </c>
      <c r="Q11" s="11">
        <f>COUNTIFS('[1]MASTER LIST'!$K:$K,"&gt;=6/1/2022",'[1]MASTER LIST'!$K:$K,"&lt;=6/30/2022",'[1]MASTER LIST'!$C:$C,"600*")</f>
        <v>1</v>
      </c>
      <c r="R11" s="12">
        <f t="shared" si="5"/>
        <v>4</v>
      </c>
      <c r="S11" s="8" t="s">
        <v>11</v>
      </c>
      <c r="T11" s="11">
        <f>COUNTIFS('[1]MASTER LIST'!$K:$K,"&gt;=7/1/2022",'[1]MASTER LIST'!$K:$K,"&lt;=7/31/2022",'[1]MASTER LIST'!$C:$C,"600*")</f>
        <v>1</v>
      </c>
      <c r="U11" s="12">
        <f t="shared" si="6"/>
        <v>5</v>
      </c>
      <c r="V11" s="8" t="s">
        <v>11</v>
      </c>
      <c r="W11" s="11">
        <f>COUNTIFS('[1]MASTER LIST'!$K:$K,"&gt;=8/1/2022",'[1]MASTER LIST'!$K:$K,"&lt;=8/31/2022",'[1]MASTER LIST'!$C:$C,"600*")</f>
        <v>1</v>
      </c>
      <c r="X11" s="12">
        <f t="shared" si="7"/>
        <v>6</v>
      </c>
      <c r="Y11" s="8" t="s">
        <v>11</v>
      </c>
      <c r="Z11" s="11">
        <f>COUNTIFS('[1]MASTER LIST'!$K:$K,"&gt;=9/1/2022",'[1]MASTER LIST'!$K:$K,"&lt;=9/30/2022",'[1]MASTER LIST'!$C:$C,"600*")</f>
        <v>1</v>
      </c>
      <c r="AA11" s="12">
        <f t="shared" si="8"/>
        <v>7</v>
      </c>
      <c r="AB11" s="8" t="s">
        <v>11</v>
      </c>
      <c r="AC11" s="11">
        <f>COUNTIFS('[1]MASTER LIST'!$K:$K,"&gt;=10/1/2022",'[1]MASTER LIST'!$K:$K,"&lt;=10/31/2022",'[1]MASTER LIST'!$C:$C,"600*")</f>
        <v>1</v>
      </c>
      <c r="AD11" s="12">
        <f t="shared" si="9"/>
        <v>8</v>
      </c>
      <c r="AE11" s="8" t="s">
        <v>11</v>
      </c>
      <c r="AF11" s="11">
        <f>COUNTIFS('[1]MASTER LIST'!$K:$K,"&gt;=11/1/2022",'[1]MASTER LIST'!$K:$K,"&lt;=11/30/2022",'[1]MASTER LIST'!$C:$C,"600*")</f>
        <v>0</v>
      </c>
      <c r="AG11" s="12">
        <f t="shared" si="10"/>
        <v>8</v>
      </c>
      <c r="AH11" s="8" t="s">
        <v>11</v>
      </c>
      <c r="AI11" s="11">
        <f>COUNTIFS('[1]MASTER LIST'!$K:$K,"&gt;=12/1/2022",'[1]MASTER LIST'!$K:$K,"&lt;=12/31/2022",'[1]MASTER LIST'!$C:$C,"600*")</f>
        <v>0</v>
      </c>
      <c r="AJ11" s="12">
        <f t="shared" si="11"/>
        <v>8</v>
      </c>
    </row>
    <row r="12" spans="1:36">
      <c r="A12" s="8" t="s">
        <v>12</v>
      </c>
      <c r="B12" s="11">
        <f>COUNTIFS('[1]MASTER LIST'!K:K,"&gt;=1/1/2022",'[1]MASTER LIST'!K:K,"&lt;=1/31/2022",'[1]MASTER LIST'!C:C, "11922",'[1]MASTER LIST'!C:C, "11923")</f>
        <v>0</v>
      </c>
      <c r="C12" s="12">
        <f t="shared" si="0"/>
        <v>0</v>
      </c>
      <c r="D12" s="8" t="s">
        <v>12</v>
      </c>
      <c r="E12" s="11">
        <f>COUNTIFS('[1]MASTER LIST'!$K:$K,"&gt;=2/1/2022",'[1]MASTER LIST'!$K:$K,"&lt;=2/28/2022",'[1]MASTER LIST'!$C:$C, "11922",'[1]MASTER LIST'!$C:$C, "11923")</f>
        <v>0</v>
      </c>
      <c r="F12" s="12">
        <f t="shared" si="1"/>
        <v>0</v>
      </c>
      <c r="G12" s="8" t="s">
        <v>12</v>
      </c>
      <c r="H12" s="11">
        <f>COUNTIFS('[1]MASTER LIST'!$K:$K,"&gt;=3/1/2022",'[1]MASTER LIST'!$K:$K,"&lt;=3/31/2022",'[1]MASTER LIST'!$C:$C, "11922",'[1]MASTER LIST'!$C:$C, "11923")</f>
        <v>0</v>
      </c>
      <c r="I12" s="12">
        <f t="shared" si="2"/>
        <v>0</v>
      </c>
      <c r="J12" s="8" t="s">
        <v>12</v>
      </c>
      <c r="K12" s="11">
        <f>COUNTIFS('[1]MASTER LIST'!$K:$K,"&gt;=4/1/2022",'[1]MASTER LIST'!$K:$K,"&lt;=4/30/2022",'[1]MASTER LIST'!$C:$C, "11922",'[1]MASTER LIST'!$C:$C, "11923")</f>
        <v>0</v>
      </c>
      <c r="L12" s="12">
        <f t="shared" si="3"/>
        <v>0</v>
      </c>
      <c r="M12" s="8" t="s">
        <v>12</v>
      </c>
      <c r="N12" s="11">
        <f>COUNTIFS('[1]MASTER LIST'!$K:$K,"&gt;=5/1/2022",'[1]MASTER LIST'!$K:$K,"&lt;=5/31/2022",'[1]MASTER LIST'!$C:$C, "11922",'[1]MASTER LIST'!$C:$C, "11923")</f>
        <v>0</v>
      </c>
      <c r="O12" s="12">
        <f t="shared" si="4"/>
        <v>0</v>
      </c>
      <c r="P12" s="8" t="s">
        <v>12</v>
      </c>
      <c r="Q12" s="11">
        <f>COUNTIFS('[1]MASTER LIST'!$K:$K,"&gt;=6/1/2022",'[1]MASTER LIST'!$K:$K,"&lt;=6/30/2022",'[1]MASTER LIST'!$C:$C, "11922",'[1]MASTER LIST'!$C:$C, "11923")</f>
        <v>0</v>
      </c>
      <c r="R12" s="12">
        <f t="shared" si="5"/>
        <v>0</v>
      </c>
      <c r="S12" s="8" t="s">
        <v>12</v>
      </c>
      <c r="T12" s="11">
        <f>COUNTIFS('[1]MASTER LIST'!$K:$K,"&gt;=7/1/2022",'[1]MASTER LIST'!$K:$K,"&lt;=7/31/2022",'[1]MASTER LIST'!$C:$C, "11922",'[1]MASTER LIST'!$C:$C, "11923")</f>
        <v>0</v>
      </c>
      <c r="U12" s="12">
        <f t="shared" si="6"/>
        <v>0</v>
      </c>
      <c r="V12" s="8" t="s">
        <v>12</v>
      </c>
      <c r="W12" s="11">
        <f>COUNTIFS('[1]MASTER LIST'!$K:$K,"&gt;=8/1/2022",'[1]MASTER LIST'!$K:$K,"&lt;=8/31/2022",'[1]MASTER LIST'!$C:$C, "11922",'[1]MASTER LIST'!$C:$C, "11923")</f>
        <v>0</v>
      </c>
      <c r="X12" s="12">
        <f t="shared" si="7"/>
        <v>0</v>
      </c>
      <c r="Y12" s="8" t="s">
        <v>12</v>
      </c>
      <c r="Z12" s="11">
        <f>COUNTIFS('[1]MASTER LIST'!$K:$K,"&gt;=9/1/2022",'[1]MASTER LIST'!$K:$K,"&lt;=9/30/2022",'[1]MASTER LIST'!$C:$C, "11922",'[1]MASTER LIST'!$C:$C, "11923")</f>
        <v>0</v>
      </c>
      <c r="AA12" s="12">
        <f t="shared" si="8"/>
        <v>0</v>
      </c>
      <c r="AB12" s="8" t="s">
        <v>12</v>
      </c>
      <c r="AC12" s="11">
        <f>COUNTIFS('[1]MASTER LIST'!$K:$K,"&gt;=10/1/2022",'[1]MASTER LIST'!$K:$K,"&lt;=10/31/2022",'[1]MASTER LIST'!$C:$C, "11922",'[1]MASTER LIST'!$C:$C, "11923")</f>
        <v>0</v>
      </c>
      <c r="AD12" s="12">
        <f t="shared" si="9"/>
        <v>0</v>
      </c>
      <c r="AE12" s="8" t="s">
        <v>12</v>
      </c>
      <c r="AF12" s="11">
        <f>COUNTIFS('[1]MASTER LIST'!$K:$K,"&gt;=11/1/2022",'[1]MASTER LIST'!$K:$K,"&lt;=11/30/2022",'[1]MASTER LIST'!$C:$C, "11922",'[1]MASTER LIST'!$C:$C, "11923")</f>
        <v>0</v>
      </c>
      <c r="AG12" s="12">
        <f t="shared" si="10"/>
        <v>0</v>
      </c>
      <c r="AH12" s="8" t="s">
        <v>12</v>
      </c>
      <c r="AI12" s="11">
        <f>COUNTIFS('[1]MASTER LIST'!$K:$K,"&gt;=12/1/2022",'[1]MASTER LIST'!$K:$K,"&lt;=12/31/2022",'[1]MASTER LIST'!$C:$C, "11922",'[1]MASTER LIST'!$C:$C, "11923")</f>
        <v>0</v>
      </c>
      <c r="AJ12" s="12">
        <f t="shared" si="11"/>
        <v>0</v>
      </c>
    </row>
    <row r="13" spans="1:36">
      <c r="A13" s="8" t="s">
        <v>13</v>
      </c>
      <c r="B13" s="11">
        <f>COUNTIFS('[1]MASTER LIST'!K:K,"&gt;=1/1/2022",'[1]MASTER LIST'!K:K,"&lt;=1/31/2022",'[1]MASTER LIST'!C:C,"1110*")</f>
        <v>3</v>
      </c>
      <c r="C13" s="12">
        <f t="shared" si="0"/>
        <v>3</v>
      </c>
      <c r="D13" s="8" t="s">
        <v>13</v>
      </c>
      <c r="E13" s="11">
        <f>COUNTIFS('[1]MASTER LIST'!$K:$K,"&gt;=2/1/2022",'[1]MASTER LIST'!$K:$K,"&lt;=2/28/2022",'[1]MASTER LIST'!$C:$C,"1110*")</f>
        <v>4</v>
      </c>
      <c r="F13" s="12">
        <f t="shared" si="1"/>
        <v>7</v>
      </c>
      <c r="G13" s="8" t="s">
        <v>13</v>
      </c>
      <c r="H13" s="11">
        <f>COUNTIFS('[1]MASTER LIST'!$K:$K,"&gt;=3/1/2022",'[1]MASTER LIST'!$K:$K,"&lt;=3/31/2022",'[1]MASTER LIST'!$C:$C,"1110*")</f>
        <v>3</v>
      </c>
      <c r="I13" s="12">
        <f t="shared" si="2"/>
        <v>10</v>
      </c>
      <c r="J13" s="8" t="s">
        <v>13</v>
      </c>
      <c r="K13" s="11">
        <f>COUNTIFS('[1]MASTER LIST'!$K:$K,"&gt;=4/1/2022",'[1]MASTER LIST'!$K:$K,"&lt;=4/30/2022",'[1]MASTER LIST'!$C:$C,"1110*")</f>
        <v>5</v>
      </c>
      <c r="L13" s="12">
        <f t="shared" si="3"/>
        <v>15</v>
      </c>
      <c r="M13" s="8" t="s">
        <v>13</v>
      </c>
      <c r="N13" s="11">
        <f>COUNTIFS('[1]MASTER LIST'!$K:$K,"&gt;=5/1/2022",'[1]MASTER LIST'!$K:$K,"&lt;=5/31/2022",'[1]MASTER LIST'!$C:$C,"1110*")</f>
        <v>2</v>
      </c>
      <c r="O13" s="12">
        <f t="shared" si="4"/>
        <v>17</v>
      </c>
      <c r="P13" s="8" t="s">
        <v>13</v>
      </c>
      <c r="Q13" s="11">
        <f>COUNTIFS('[1]MASTER LIST'!$K:$K,"&gt;=6/1/2022",'[1]MASTER LIST'!$K:$K,"&lt;=6/30/2022",'[1]MASTER LIST'!$C:$C,"1110*")</f>
        <v>3</v>
      </c>
      <c r="R13" s="12">
        <f t="shared" si="5"/>
        <v>20</v>
      </c>
      <c r="S13" s="8" t="s">
        <v>13</v>
      </c>
      <c r="T13" s="11">
        <f>COUNTIFS('[1]MASTER LIST'!$K:$K,"&gt;=7/1/2022",'[1]MASTER LIST'!$K:$K,"&lt;=7/31/2022",'[1]MASTER LIST'!$C:$C,"1110*")</f>
        <v>1</v>
      </c>
      <c r="U13" s="12">
        <f t="shared" si="6"/>
        <v>21</v>
      </c>
      <c r="V13" s="8" t="s">
        <v>13</v>
      </c>
      <c r="W13" s="11">
        <f>COUNTIFS('[1]MASTER LIST'!$K:$K,"&gt;=8/1/2022",'[1]MASTER LIST'!$K:$K,"&lt;=8/31/2022",'[1]MASTER LIST'!$C:$C,"1110*")</f>
        <v>6</v>
      </c>
      <c r="X13" s="12">
        <f t="shared" si="7"/>
        <v>27</v>
      </c>
      <c r="Y13" s="8" t="s">
        <v>13</v>
      </c>
      <c r="Z13" s="11">
        <f>COUNTIFS('[1]MASTER LIST'!$K:$K,"&gt;=9/1/2022",'[1]MASTER LIST'!$K:$K,"&lt;=9/30/2022",'[1]MASTER LIST'!$C:$C,"1110*")</f>
        <v>2</v>
      </c>
      <c r="AA13" s="12">
        <f t="shared" si="8"/>
        <v>29</v>
      </c>
      <c r="AB13" s="8" t="s">
        <v>13</v>
      </c>
      <c r="AC13" s="11">
        <f>COUNTIFS('[1]MASTER LIST'!$K:$K,"&gt;=10/1/2022",'[1]MASTER LIST'!$K:$K,"&lt;=10/31/2022",'[1]MASTER LIST'!$C:$C,"1110*")</f>
        <v>5</v>
      </c>
      <c r="AD13" s="12">
        <f t="shared" si="9"/>
        <v>34</v>
      </c>
      <c r="AE13" s="8" t="s">
        <v>13</v>
      </c>
      <c r="AF13" s="11">
        <f>COUNTIFS('[1]MASTER LIST'!$K:$K,"&gt;=11/1/2022",'[1]MASTER LIST'!$K:$K,"&lt;=11/30/2022",'[1]MASTER LIST'!$C:$C,"1110*")</f>
        <v>2</v>
      </c>
      <c r="AG13" s="12">
        <f t="shared" si="10"/>
        <v>36</v>
      </c>
      <c r="AH13" s="8" t="s">
        <v>13</v>
      </c>
      <c r="AI13" s="11">
        <f>COUNTIFS('[1]MASTER LIST'!$K:$K,"&gt;=12/1/2022",'[1]MASTER LIST'!$K:$K,"&lt;=12/31/2022",'[1]MASTER LIST'!$C:$C,"1110*")</f>
        <v>3</v>
      </c>
      <c r="AJ13" s="12">
        <f t="shared" si="11"/>
        <v>39</v>
      </c>
    </row>
    <row r="14" spans="1:36">
      <c r="A14" s="8" t="s">
        <v>14</v>
      </c>
      <c r="B14" s="11">
        <f>COUNTIFS('[1]MASTER LIST'!K:K,"&gt;=1/1/2022",'[1]MASTER LIST'!K:K,"&lt;=1/31/2022",'[1]MASTER LIST'!C:C,"1163*")</f>
        <v>0</v>
      </c>
      <c r="C14" s="12">
        <f t="shared" si="0"/>
        <v>0</v>
      </c>
      <c r="D14" s="8" t="s">
        <v>14</v>
      </c>
      <c r="E14" s="11">
        <f>COUNTIFS('[1]MASTER LIST'!$K:$K,"&gt;=2/1/2022",'[1]MASTER LIST'!$K:$K,"&lt;=2/28/2022",'[1]MASTER LIST'!$C:$C,"1163*")</f>
        <v>1</v>
      </c>
      <c r="F14" s="12">
        <f t="shared" si="1"/>
        <v>1</v>
      </c>
      <c r="G14" s="8" t="s">
        <v>14</v>
      </c>
      <c r="H14" s="11">
        <f>COUNTIFS('[1]MASTER LIST'!$K:$K,"&gt;=3/1/2022",'[1]MASTER LIST'!$K:$K,"&lt;=3/31/2022",'[1]MASTER LIST'!$C:$C,"1163*")</f>
        <v>0</v>
      </c>
      <c r="I14" s="12">
        <f t="shared" si="2"/>
        <v>1</v>
      </c>
      <c r="J14" s="8" t="s">
        <v>14</v>
      </c>
      <c r="K14" s="11">
        <f>COUNTIFS('[1]MASTER LIST'!$K:$K,"&gt;=4/1/2022",'[1]MASTER LIST'!$K:$K,"&lt;=4/30/2022",'[1]MASTER LIST'!$C:$C,"1163*")</f>
        <v>0</v>
      </c>
      <c r="L14" s="12">
        <f t="shared" si="3"/>
        <v>1</v>
      </c>
      <c r="M14" s="8" t="s">
        <v>14</v>
      </c>
      <c r="N14" s="11">
        <f>COUNTIFS('[1]MASTER LIST'!$K:$K,"&gt;=5/1/2022",'[1]MASTER LIST'!$K:$K,"&lt;=5/31/2022",'[1]MASTER LIST'!$C:$C,"1163*")</f>
        <v>0</v>
      </c>
      <c r="O14" s="12">
        <f t="shared" si="4"/>
        <v>1</v>
      </c>
      <c r="P14" s="8" t="s">
        <v>14</v>
      </c>
      <c r="Q14" s="11">
        <f>COUNTIFS('[1]MASTER LIST'!$K:$K,"&gt;=6/1/2022",'[1]MASTER LIST'!$K:$K,"&lt;=6/30/2022",'[1]MASTER LIST'!$C:$C,"1163*")</f>
        <v>1</v>
      </c>
      <c r="R14" s="12">
        <f t="shared" si="5"/>
        <v>2</v>
      </c>
      <c r="S14" s="8" t="s">
        <v>14</v>
      </c>
      <c r="T14" s="11">
        <f>COUNTIFS('[1]MASTER LIST'!$K:$K,"&gt;=7/1/2022",'[1]MASTER LIST'!$K:$K,"&lt;=7/31/2022",'[1]MASTER LIST'!$C:$C,"1163*")</f>
        <v>0</v>
      </c>
      <c r="U14" s="12">
        <f t="shared" si="6"/>
        <v>2</v>
      </c>
      <c r="V14" s="8" t="s">
        <v>14</v>
      </c>
      <c r="W14" s="11">
        <f>COUNTIFS('[1]MASTER LIST'!$K:$K,"&gt;=8/1/2022",'[1]MASTER LIST'!$K:$K,"&lt;=8/31/2022",'[1]MASTER LIST'!$C:$C,"1163*")</f>
        <v>1</v>
      </c>
      <c r="X14" s="12">
        <f t="shared" si="7"/>
        <v>3</v>
      </c>
      <c r="Y14" s="8" t="s">
        <v>14</v>
      </c>
      <c r="Z14" s="11">
        <f>COUNTIFS('[1]MASTER LIST'!$K:$K,"&gt;=9/1/2022",'[1]MASTER LIST'!$K:$K,"&lt;=9/30/2022",'[1]MASTER LIST'!$C:$C,"1163*")</f>
        <v>0</v>
      </c>
      <c r="AA14" s="12">
        <f t="shared" si="8"/>
        <v>3</v>
      </c>
      <c r="AB14" s="8" t="s">
        <v>14</v>
      </c>
      <c r="AC14" s="11">
        <f>COUNTIFS('[1]MASTER LIST'!$K:$K,"&gt;=10/1/2022",'[1]MASTER LIST'!$K:$K,"&lt;=10/31/2022",'[1]MASTER LIST'!$C:$C,"1163*")</f>
        <v>0</v>
      </c>
      <c r="AD14" s="12">
        <f t="shared" si="9"/>
        <v>3</v>
      </c>
      <c r="AE14" s="8" t="s">
        <v>14</v>
      </c>
      <c r="AF14" s="11">
        <f>COUNTIFS('[1]MASTER LIST'!$K:$K,"&gt;=11/1/2022",'[1]MASTER LIST'!$K:$K,"&lt;=11/30/2022",'[1]MASTER LIST'!$C:$C,"1163*")</f>
        <v>0</v>
      </c>
      <c r="AG14" s="12">
        <f t="shared" si="10"/>
        <v>3</v>
      </c>
      <c r="AH14" s="8" t="s">
        <v>14</v>
      </c>
      <c r="AI14" s="11">
        <f>COUNTIFS('[1]MASTER LIST'!$K:$K,"&gt;=12/1/2022",'[1]MASTER LIST'!$K:$K,"&lt;=12/31/2022",'[1]MASTER LIST'!$C:$C,"1163*")</f>
        <v>0</v>
      </c>
      <c r="AJ14" s="12">
        <f t="shared" si="11"/>
        <v>3</v>
      </c>
    </row>
    <row r="15" spans="1:36">
      <c r="A15" s="8" t="s">
        <v>15</v>
      </c>
      <c r="B15" s="11">
        <f>COUNTIFS('[1]MASTER LIST'!K:K,"&gt;=1/1/2022",'[1]MASTER LIST'!K:K,"&lt;=1/31/2022",'[1]MASTER LIST'!C:C,"1129*")</f>
        <v>1</v>
      </c>
      <c r="C15" s="12">
        <f t="shared" si="0"/>
        <v>1</v>
      </c>
      <c r="D15" s="8" t="s">
        <v>15</v>
      </c>
      <c r="E15" s="11">
        <f>COUNTIFS('[1]MASTER LIST'!$K:$K,"&gt;=2/1/2022",'[1]MASTER LIST'!$K:$K,"&lt;=2/28/2022",'[1]MASTER LIST'!$C:$C,"1129*")</f>
        <v>0</v>
      </c>
      <c r="F15" s="12">
        <f t="shared" si="1"/>
        <v>1</v>
      </c>
      <c r="G15" s="8" t="s">
        <v>15</v>
      </c>
      <c r="H15" s="11">
        <f>COUNTIFS('[1]MASTER LIST'!$K:$K,"&gt;=3/1/2022",'[1]MASTER LIST'!$K:$K,"&lt;=3/31/2022",'[1]MASTER LIST'!$C:$C,"1129*")</f>
        <v>0</v>
      </c>
      <c r="I15" s="12">
        <f t="shared" si="2"/>
        <v>1</v>
      </c>
      <c r="J15" s="8" t="s">
        <v>15</v>
      </c>
      <c r="K15" s="11">
        <f>COUNTIFS('[1]MASTER LIST'!$K:$K,"&gt;=4/1/2022",'[1]MASTER LIST'!$K:$K,"&lt;=4/30/2022",'[1]MASTER LIST'!$C:$C,"1129*")</f>
        <v>0</v>
      </c>
      <c r="L15" s="12">
        <f t="shared" si="3"/>
        <v>1</v>
      </c>
      <c r="M15" s="8" t="s">
        <v>15</v>
      </c>
      <c r="N15" s="11">
        <f>COUNTIFS('[1]MASTER LIST'!$K:$K,"&gt;=5/1/2022",'[1]MASTER LIST'!$K:$K,"&lt;=5/31/2022",'[1]MASTER LIST'!$C:$C,"1129*")</f>
        <v>1</v>
      </c>
      <c r="O15" s="12">
        <f t="shared" si="4"/>
        <v>2</v>
      </c>
      <c r="P15" s="8" t="s">
        <v>15</v>
      </c>
      <c r="Q15" s="11">
        <f>COUNTIFS('[1]MASTER LIST'!$K:$K,"&gt;=6/1/2022",'[1]MASTER LIST'!$K:$K,"&lt;=6/30/2022",'[1]MASTER LIST'!$C:$C,"1129*")</f>
        <v>0</v>
      </c>
      <c r="R15" s="12">
        <f t="shared" si="5"/>
        <v>2</v>
      </c>
      <c r="S15" s="8" t="s">
        <v>15</v>
      </c>
      <c r="T15" s="11">
        <f>COUNTIFS('[1]MASTER LIST'!$K:$K,"&gt;=7/1/2022",'[1]MASTER LIST'!$K:$K,"&lt;=7/31/2022",'[1]MASTER LIST'!$C:$C,"1129*")</f>
        <v>0</v>
      </c>
      <c r="U15" s="12">
        <f t="shared" si="6"/>
        <v>2</v>
      </c>
      <c r="V15" s="8" t="s">
        <v>15</v>
      </c>
      <c r="W15" s="11">
        <f>COUNTIFS('[1]MASTER LIST'!$K:$K,"&gt;=8/1/2022",'[1]MASTER LIST'!$K:$K,"&lt;=8/31/2022",'[1]MASTER LIST'!$C:$C,"1129*")</f>
        <v>0</v>
      </c>
      <c r="X15" s="12">
        <f t="shared" si="7"/>
        <v>2</v>
      </c>
      <c r="Y15" s="8" t="s">
        <v>15</v>
      </c>
      <c r="Z15" s="11">
        <f>COUNTIFS('[1]MASTER LIST'!$K:$K,"&gt;=9/1/2022",'[1]MASTER LIST'!$K:$K,"&lt;=9/30/2022",'[1]MASTER LIST'!$C:$C,"1129*")</f>
        <v>0</v>
      </c>
      <c r="AA15" s="12">
        <f t="shared" si="8"/>
        <v>2</v>
      </c>
      <c r="AB15" s="8" t="s">
        <v>15</v>
      </c>
      <c r="AC15" s="11">
        <f>COUNTIFS('[1]MASTER LIST'!$K:$K,"&gt;=10/1/2022",'[1]MASTER LIST'!$K:$K,"&lt;=10/31/2022",'[1]MASTER LIST'!$C:$C,"1129*")</f>
        <v>0</v>
      </c>
      <c r="AD15" s="12">
        <f t="shared" si="9"/>
        <v>2</v>
      </c>
      <c r="AE15" s="8" t="s">
        <v>15</v>
      </c>
      <c r="AF15" s="11">
        <f>COUNTIFS('[1]MASTER LIST'!$K:$K,"&gt;=11/1/2022",'[1]MASTER LIST'!$K:$K,"&lt;=11/30/2022",'[1]MASTER LIST'!$C:$C,"1129*")</f>
        <v>0</v>
      </c>
      <c r="AG15" s="12">
        <f t="shared" si="10"/>
        <v>2</v>
      </c>
      <c r="AH15" s="8" t="s">
        <v>15</v>
      </c>
      <c r="AI15" s="11">
        <f>COUNTIFS('[1]MASTER LIST'!$K:$K,"&gt;=12/1/2022",'[1]MASTER LIST'!$K:$K,"&lt;=12/31/2022",'[1]MASTER LIST'!$C:$C,"1129*")</f>
        <v>0</v>
      </c>
      <c r="AJ15" s="12">
        <f t="shared" si="11"/>
        <v>2</v>
      </c>
    </row>
    <row r="16" spans="1:36">
      <c r="A16" s="8" t="s">
        <v>16</v>
      </c>
      <c r="B16" s="11">
        <f>COUNTIFS('[1]MASTER LIST'!K:K,"&gt;=1/1/2022",'[1]MASTER LIST'!K:K,"&lt;=1/31/2022",'[1]MASTER LIST'!C:C,"3752A1")+COUNTIF('[1]MASTER LIST'!C:C,"3752A")</f>
        <v>20</v>
      </c>
      <c r="C16" s="12">
        <f t="shared" si="0"/>
        <v>20</v>
      </c>
      <c r="D16" s="8" t="s">
        <v>16</v>
      </c>
      <c r="E16" s="11">
        <f>COUNTIFS('[1]MASTER LIST'!$K:$K,"&gt;=2/1/2022",'[1]MASTER LIST'!$K:$K,"&lt;=2/28/2022",'[1]MASTER LIST'!$C:$C,"3752A1")+COUNTIF('[1]MASTER LIST'!$C:$C,"3752A")</f>
        <v>17</v>
      </c>
      <c r="F16" s="12">
        <f t="shared" si="1"/>
        <v>37</v>
      </c>
      <c r="G16" s="8" t="s">
        <v>16</v>
      </c>
      <c r="H16" s="11">
        <f>COUNTIFS('[1]MASTER LIST'!$K:$K,"&gt;=3/1/2022",'[1]MASTER LIST'!$K:$K,"&lt;=3/31/2022",'[1]MASTER LIST'!$C:$C,"3752A1")+COUNTIF('[1]MASTER LIST'!$C:$C,"3752A")</f>
        <v>18</v>
      </c>
      <c r="I16" s="12">
        <f t="shared" si="2"/>
        <v>55</v>
      </c>
      <c r="J16" s="8" t="s">
        <v>16</v>
      </c>
      <c r="K16" s="11">
        <f>COUNTIFS('[1]MASTER LIST'!$K:$K,"&gt;=4/1/2022",'[1]MASTER LIST'!$K:$K,"&lt;=4/30/2022",'[1]MASTER LIST'!$C:$C,"3752A1")+COUNTIF('[1]MASTER LIST'!$C:$C,"3752A")</f>
        <v>26</v>
      </c>
      <c r="L16" s="12">
        <f t="shared" si="3"/>
        <v>81</v>
      </c>
      <c r="M16" s="8" t="s">
        <v>16</v>
      </c>
      <c r="N16" s="11">
        <f>COUNTIFS('[1]MASTER LIST'!$K:$K,"&gt;=5/1/2022",'[1]MASTER LIST'!$K:$K,"&lt;=5/31/2022",'[1]MASTER LIST'!$C:$C,"3752A1")+COUNTIF('[1]MASTER LIST'!$C:$C,"3752A")</f>
        <v>20</v>
      </c>
      <c r="O16" s="12">
        <f t="shared" si="4"/>
        <v>101</v>
      </c>
      <c r="P16" s="8" t="s">
        <v>16</v>
      </c>
      <c r="Q16" s="11">
        <f>COUNTIFS('[1]MASTER LIST'!$K:$K,"&gt;=6/1/2022",'[1]MASTER LIST'!$K:$K,"&lt;=6/30/2022",'[1]MASTER LIST'!$C:$C,"3752A1")+COUNTIF('[1]MASTER LIST'!$C:$C,"3752A")</f>
        <v>15</v>
      </c>
      <c r="R16" s="12">
        <f t="shared" si="5"/>
        <v>116</v>
      </c>
      <c r="S16" s="8" t="s">
        <v>16</v>
      </c>
      <c r="T16" s="11">
        <f>COUNTIFS('[1]MASTER LIST'!$K:$K,"&gt;=7/1/2022",'[1]MASTER LIST'!$K:$K,"&lt;=7/31/2022",'[1]MASTER LIST'!$C:$C,"3752A1")+COUNTIF('[1]MASTER LIST'!$C:$C,"3752A")</f>
        <v>21</v>
      </c>
      <c r="U16" s="12">
        <f t="shared" si="6"/>
        <v>137</v>
      </c>
      <c r="V16" s="8" t="s">
        <v>16</v>
      </c>
      <c r="W16" s="11">
        <f>COUNTIFS('[1]MASTER LIST'!$K:$K,"&gt;=8/1/2022",'[1]MASTER LIST'!$K:$K,"&lt;=8/31/2022",'[1]MASTER LIST'!$C:$C,"3752A1")+COUNTIF('[1]MASTER LIST'!$C:$C,"3752A")</f>
        <v>15</v>
      </c>
      <c r="X16" s="12">
        <f t="shared" si="7"/>
        <v>152</v>
      </c>
      <c r="Y16" s="8" t="s">
        <v>16</v>
      </c>
      <c r="Z16" s="11">
        <f>COUNTIFS('[1]MASTER LIST'!$K:$K,"&gt;=9/1/2022",'[1]MASTER LIST'!$K:$K,"&lt;=9/30/2022",'[1]MASTER LIST'!$C:$C,"3752A1")+COUNTIF('[1]MASTER LIST'!$C:$C,"3752A")</f>
        <v>17</v>
      </c>
      <c r="AA16" s="12">
        <f t="shared" si="8"/>
        <v>169</v>
      </c>
      <c r="AB16" s="8" t="s">
        <v>16</v>
      </c>
      <c r="AC16" s="11">
        <f>COUNTIFS('[1]MASTER LIST'!$K:$K,"&gt;=10/1/2022",'[1]MASTER LIST'!$K:$K,"&lt;=10/31/2022",'[1]MASTER LIST'!$C:$C,"3752A1")+COUNTIF('[1]MASTER LIST'!$C:$C,"3752A")</f>
        <v>22</v>
      </c>
      <c r="AD16" s="12">
        <f t="shared" si="9"/>
        <v>191</v>
      </c>
      <c r="AE16" s="8" t="s">
        <v>16</v>
      </c>
      <c r="AF16" s="11">
        <f>COUNTIFS('[1]MASTER LIST'!$K:$K,"&gt;=11/1/2022",'[1]MASTER LIST'!$K:$K,"&lt;=11/30/2022",'[1]MASTER LIST'!$C:$C,"3752A1")+COUNTIF('[1]MASTER LIST'!$C:$C,"3752A")</f>
        <v>20</v>
      </c>
      <c r="AG16" s="12">
        <f t="shared" si="10"/>
        <v>211</v>
      </c>
      <c r="AH16" s="8" t="s">
        <v>16</v>
      </c>
      <c r="AI16" s="11">
        <f>COUNTIFS('[1]MASTER LIST'!$K:$K,"&gt;=12/1/2022",'[1]MASTER LIST'!$K:$K,"&lt;=12/31/2022",'[1]MASTER LIST'!$C:$C,"3752A1")+COUNTIF('[1]MASTER LIST'!$C:$C,"3752A")</f>
        <v>14</v>
      </c>
      <c r="AJ16" s="12">
        <f t="shared" si="11"/>
        <v>225</v>
      </c>
    </row>
    <row r="17" spans="1:36">
      <c r="A17" s="8" t="s">
        <v>17</v>
      </c>
      <c r="B17" s="11">
        <f>COUNTIFS('[1]MASTER LIST'!K:K,"&gt;=1/1/2022",'[1]MASTER LIST'!K:K,"&lt;=1/31/2022",'[1]MASTER LIST'!C:C,"1123",'[1]MASTER LIST'!C:C,"1122A")</f>
        <v>0</v>
      </c>
      <c r="C17" s="12">
        <f t="shared" si="0"/>
        <v>0</v>
      </c>
      <c r="D17" s="8" t="s">
        <v>17</v>
      </c>
      <c r="E17" s="11">
        <f>COUNTIFS('[1]MASTER LIST'!$K:$K,"&gt;=2/1/2022",'[1]MASTER LIST'!$K:$K,"&lt;=2/28/2022",'[1]MASTER LIST'!$C:$C,"1123",'[1]MASTER LIST'!$C:$C,"1122A")</f>
        <v>0</v>
      </c>
      <c r="F17" s="12">
        <f t="shared" si="1"/>
        <v>0</v>
      </c>
      <c r="G17" s="8" t="s">
        <v>17</v>
      </c>
      <c r="H17" s="11">
        <f>COUNTIFS('[1]MASTER LIST'!$K:$K,"&gt;=3/1/2022",'[1]MASTER LIST'!$K:$K,"&lt;=3/31/2022",'[1]MASTER LIST'!$C:$C,"1123",'[1]MASTER LIST'!$C:$C,"1122A")</f>
        <v>0</v>
      </c>
      <c r="I17" s="12">
        <f t="shared" si="2"/>
        <v>0</v>
      </c>
      <c r="J17" s="8" t="s">
        <v>17</v>
      </c>
      <c r="K17" s="11">
        <f>COUNTIFS('[1]MASTER LIST'!$K:$K,"&gt;=4/1/2022",'[1]MASTER LIST'!$K:$K,"&lt;=4/30/2022",'[1]MASTER LIST'!$C:$C,"1123",'[1]MASTER LIST'!$C:$C,"1122A")</f>
        <v>0</v>
      </c>
      <c r="L17" s="12">
        <f t="shared" si="3"/>
        <v>0</v>
      </c>
      <c r="M17" s="8" t="s">
        <v>17</v>
      </c>
      <c r="N17" s="11">
        <f>COUNTIFS('[1]MASTER LIST'!$K:$K,"&gt;=5/1/2022",'[1]MASTER LIST'!$K:$K,"&lt;=5/31/2022",'[1]MASTER LIST'!$C:$C,"1123",'[1]MASTER LIST'!$C:$C,"1122A")</f>
        <v>0</v>
      </c>
      <c r="O17" s="12">
        <f t="shared" si="4"/>
        <v>0</v>
      </c>
      <c r="P17" s="8" t="s">
        <v>17</v>
      </c>
      <c r="Q17" s="11">
        <f>COUNTIFS('[1]MASTER LIST'!$K:$K,"&gt;=6/1/2022",'[1]MASTER LIST'!$K:$K,"&lt;=6/30/2022",'[1]MASTER LIST'!$C:$C,"1123",'[1]MASTER LIST'!$C:$C,"1122A")</f>
        <v>0</v>
      </c>
      <c r="R17" s="12">
        <f t="shared" si="5"/>
        <v>0</v>
      </c>
      <c r="S17" s="8" t="s">
        <v>17</v>
      </c>
      <c r="T17" s="11">
        <f>COUNTIFS('[1]MASTER LIST'!$K:$K,"&gt;=7/1/2022",'[1]MASTER LIST'!$K:$K,"&lt;=7/31/2022",'[1]MASTER LIST'!$C:$C,"1123",'[1]MASTER LIST'!$C:$C,"1122A")</f>
        <v>0</v>
      </c>
      <c r="U17" s="12">
        <f t="shared" si="6"/>
        <v>0</v>
      </c>
      <c r="V17" s="8" t="s">
        <v>17</v>
      </c>
      <c r="W17" s="11">
        <f>COUNTIFS('[1]MASTER LIST'!$K:$K,"&gt;=8/1/2022",'[1]MASTER LIST'!$K:$K,"&lt;=8/31/2022",'[1]MASTER LIST'!$C:$C,"1123",'[1]MASTER LIST'!$C:$C,"1122A")</f>
        <v>0</v>
      </c>
      <c r="X17" s="12">
        <f t="shared" si="7"/>
        <v>0</v>
      </c>
      <c r="Y17" s="8" t="s">
        <v>17</v>
      </c>
      <c r="Z17" s="11">
        <f>COUNTIFS('[1]MASTER LIST'!$K:$K,"&gt;=9/1/2022",'[1]MASTER LIST'!$K:$K,"&lt;=9/30/2022",'[1]MASTER LIST'!$C:$C,"1123",'[1]MASTER LIST'!$C:$C,"1122A")</f>
        <v>0</v>
      </c>
      <c r="AA17" s="12">
        <f t="shared" si="8"/>
        <v>0</v>
      </c>
      <c r="AB17" s="8" t="s">
        <v>17</v>
      </c>
      <c r="AC17" s="11">
        <f>COUNTIFS('[1]MASTER LIST'!$K:$K,"&gt;=10/1/2022",'[1]MASTER LIST'!$K:$K,"&lt;=10/31/2022",'[1]MASTER LIST'!$C:$C,"1123",'[1]MASTER LIST'!$C:$C,"1122A")</f>
        <v>0</v>
      </c>
      <c r="AD17" s="12">
        <f t="shared" si="9"/>
        <v>0</v>
      </c>
      <c r="AE17" s="8" t="s">
        <v>17</v>
      </c>
      <c r="AF17" s="11">
        <f>COUNTIFS('[1]MASTER LIST'!$K:$K,"&gt;=11/1/2022",'[1]MASTER LIST'!$K:$K,"&lt;=11/30/2022",'[1]MASTER LIST'!$C:$C,"1123",'[1]MASTER LIST'!$C:$C,"1122A")</f>
        <v>0</v>
      </c>
      <c r="AG17" s="12">
        <f t="shared" si="10"/>
        <v>0</v>
      </c>
      <c r="AH17" s="8" t="s">
        <v>17</v>
      </c>
      <c r="AI17" s="11">
        <f>COUNTIFS('[1]MASTER LIST'!$K:$K,"&gt;=12/1/2022",'[1]MASTER LIST'!$K:$K,"&lt;=12/31/2022",'[1]MASTER LIST'!$C:$C,"1123",'[1]MASTER LIST'!$C:$C,"1122A")</f>
        <v>0</v>
      </c>
      <c r="AJ17" s="12">
        <f t="shared" si="11"/>
        <v>0</v>
      </c>
    </row>
    <row r="18" spans="1:36">
      <c r="A18" s="8" t="s">
        <v>18</v>
      </c>
      <c r="B18" s="11">
        <f>COUNTIFS('[1]MASTER LIST'!K:K,"&gt;=1/1/2022",'[1]MASTER LIST'!K:K,"&lt;=1/31/2022",'[1]MASTER LIST'!C:C,"1160*")-B33</f>
        <v>0</v>
      </c>
      <c r="C18" s="12">
        <f t="shared" si="0"/>
        <v>0</v>
      </c>
      <c r="D18" s="8" t="s">
        <v>18</v>
      </c>
      <c r="E18" s="11">
        <f>COUNTIFS('[1]MASTER LIST'!$K:$K,"&gt;=2/1/2022",'[1]MASTER LIST'!$K:$K,"&lt;=2/28/2022",'[1]MASTER LIST'!$C:$C,"1160*")-E33</f>
        <v>0</v>
      </c>
      <c r="F18" s="12">
        <f t="shared" si="1"/>
        <v>0</v>
      </c>
      <c r="G18" s="8" t="s">
        <v>18</v>
      </c>
      <c r="H18" s="11">
        <f>COUNTIFS('[1]MASTER LIST'!$K:$K,"&gt;=3/1/2022",'[1]MASTER LIST'!$K:$K,"&lt;=3/31/2022",'[1]MASTER LIST'!$C:$C,"1160*")-H33</f>
        <v>0</v>
      </c>
      <c r="I18" s="12">
        <f t="shared" si="2"/>
        <v>0</v>
      </c>
      <c r="J18" s="8" t="s">
        <v>18</v>
      </c>
      <c r="K18" s="11">
        <f>COUNTIFS('[1]MASTER LIST'!$K:$K,"&gt;=4/1/2022",'[1]MASTER LIST'!$K:$K,"&lt;=4/30/2022",'[1]MASTER LIST'!$C:$C,"1160*")-K33</f>
        <v>0</v>
      </c>
      <c r="L18" s="12">
        <f t="shared" si="3"/>
        <v>0</v>
      </c>
      <c r="M18" s="8" t="s">
        <v>18</v>
      </c>
      <c r="N18" s="11">
        <f>COUNTIFS('[1]MASTER LIST'!$K:$K,"&gt;=5/1/2022",'[1]MASTER LIST'!$K:$K,"&lt;=5/31/2022",'[1]MASTER LIST'!$C:$C,"1160*")-N33</f>
        <v>0</v>
      </c>
      <c r="O18" s="12">
        <f t="shared" si="4"/>
        <v>0</v>
      </c>
      <c r="P18" s="8" t="s">
        <v>18</v>
      </c>
      <c r="Q18" s="11">
        <f>COUNTIFS('[1]MASTER LIST'!$K:$K,"&gt;=6/1/2022",'[1]MASTER LIST'!$K:$K,"&lt;=6/30/2022",'[1]MASTER LIST'!$C:$C,"1160*")-Q33</f>
        <v>1</v>
      </c>
      <c r="R18" s="12">
        <f t="shared" si="5"/>
        <v>1</v>
      </c>
      <c r="S18" s="8" t="s">
        <v>18</v>
      </c>
      <c r="T18" s="11">
        <f>COUNTIFS('[1]MASTER LIST'!$K:$K,"&gt;=7/1/2022",'[1]MASTER LIST'!$K:$K,"&lt;=7/31/2022",'[1]MASTER LIST'!$C:$C,"1160*")-T33</f>
        <v>0</v>
      </c>
      <c r="U18" s="12">
        <f t="shared" si="6"/>
        <v>1</v>
      </c>
      <c r="V18" s="8" t="s">
        <v>18</v>
      </c>
      <c r="W18" s="11">
        <f>COUNTIFS('[1]MASTER LIST'!$K:$K,"&gt;=8/1/2022",'[1]MASTER LIST'!$K:$K,"&lt;=8/31/2022",'[1]MASTER LIST'!$C:$C,"1160*")-W33</f>
        <v>0</v>
      </c>
      <c r="X18" s="12">
        <f t="shared" si="7"/>
        <v>1</v>
      </c>
      <c r="Y18" s="8" t="s">
        <v>18</v>
      </c>
      <c r="Z18" s="11">
        <f>COUNTIFS('[1]MASTER LIST'!$K:$K,"&gt;=9/1/2022",'[1]MASTER LIST'!$K:$K,"&lt;=9/30/2022",'[1]MASTER LIST'!$C:$C,"1160*")-Z33</f>
        <v>0</v>
      </c>
      <c r="AA18" s="12">
        <f t="shared" si="8"/>
        <v>1</v>
      </c>
      <c r="AB18" s="8" t="s">
        <v>18</v>
      </c>
      <c r="AC18" s="11">
        <f>COUNTIFS('[1]MASTER LIST'!$K:$K,"&gt;=10/1/2022",'[1]MASTER LIST'!$K:$K,"&lt;=10/31/2022",'[1]MASTER LIST'!$C:$C,"1160*")-AC33</f>
        <v>1</v>
      </c>
      <c r="AD18" s="12">
        <f t="shared" si="9"/>
        <v>2</v>
      </c>
      <c r="AE18" s="8" t="s">
        <v>18</v>
      </c>
      <c r="AF18" s="11">
        <f>COUNTIFS('[1]MASTER LIST'!$K:$K,"&gt;=11/1/2022",'[1]MASTER LIST'!$K:$K,"&lt;=11/30/2022",'[1]MASTER LIST'!$C:$C,"1160*")-AF33</f>
        <v>0</v>
      </c>
      <c r="AG18" s="12">
        <f t="shared" si="10"/>
        <v>2</v>
      </c>
      <c r="AH18" s="8" t="s">
        <v>18</v>
      </c>
      <c r="AI18" s="11">
        <f>COUNTIFS('[1]MASTER LIST'!$K:$K,"&gt;=12/1/2022",'[1]MASTER LIST'!$K:$K,"&lt;=12/31/2022",'[1]MASTER LIST'!$C:$C,"1160*")-AI33</f>
        <v>0</v>
      </c>
      <c r="AJ18" s="12">
        <f t="shared" si="11"/>
        <v>2</v>
      </c>
    </row>
    <row r="19" spans="1:36">
      <c r="A19" s="8" t="s">
        <v>19</v>
      </c>
      <c r="B19" s="11">
        <f>COUNTIFS('[1]MASTER LIST'!K:K,"&gt;=1/1/2022",'[1]MASTER LIST'!K:K,"&lt;=1/31/2022",'[1]MASTER LIST'!C:C,"4021",'[1]MASTER LIST'!C:C,"4023",'[1]MASTER LIST'!C:C,"4113")</f>
        <v>0</v>
      </c>
      <c r="C19" s="12">
        <f t="shared" si="0"/>
        <v>0</v>
      </c>
      <c r="D19" s="8" t="s">
        <v>19</v>
      </c>
      <c r="E19" s="11">
        <f>COUNTIFS('[1]MASTER LIST'!$K:$K,"&gt;=2/1/2022",'[1]MASTER LIST'!$K:$K,"&lt;=2/28/2022",'[1]MASTER LIST'!$C:$C,"4021",'[1]MASTER LIST'!$C:$C,"4023",'[1]MASTER LIST'!$C:$C,"4113")</f>
        <v>0</v>
      </c>
      <c r="F19" s="12">
        <f t="shared" si="1"/>
        <v>0</v>
      </c>
      <c r="G19" s="8" t="s">
        <v>19</v>
      </c>
      <c r="H19" s="11">
        <f>COUNTIFS('[1]MASTER LIST'!$K:$K,"&gt;=3/1/2022",'[1]MASTER LIST'!$K:$K,"&lt;=3/31/2022",'[1]MASTER LIST'!$C:$C,"4021",'[1]MASTER LIST'!$C:$C,"4023",'[1]MASTER LIST'!$C:$C,"4113")</f>
        <v>0</v>
      </c>
      <c r="I19" s="12">
        <f t="shared" si="2"/>
        <v>0</v>
      </c>
      <c r="J19" s="8" t="s">
        <v>19</v>
      </c>
      <c r="K19" s="11">
        <f>COUNTIFS('[1]MASTER LIST'!$K:$K,"&gt;=4/1/2022",'[1]MASTER LIST'!$K:$K,"&lt;=4/30/2022",'[1]MASTER LIST'!$C:$C,"4021",'[1]MASTER LIST'!$C:$C,"4023",'[1]MASTER LIST'!$C:$C,"4113")</f>
        <v>0</v>
      </c>
      <c r="L19" s="12">
        <f t="shared" si="3"/>
        <v>0</v>
      </c>
      <c r="M19" s="8" t="s">
        <v>19</v>
      </c>
      <c r="N19" s="11">
        <f>COUNTIFS('[1]MASTER LIST'!$K:$K,"&gt;=5/1/2022",'[1]MASTER LIST'!$K:$K,"&lt;=5/31/2022",'[1]MASTER LIST'!$C:$C,"4021",'[1]MASTER LIST'!$C:$C,"4023",'[1]MASTER LIST'!$C:$C,"4113")</f>
        <v>0</v>
      </c>
      <c r="O19" s="12">
        <f t="shared" si="4"/>
        <v>0</v>
      </c>
      <c r="P19" s="8" t="s">
        <v>19</v>
      </c>
      <c r="Q19" s="11">
        <f>COUNTIFS('[1]MASTER LIST'!$K:$K,"&gt;=6/1/2022",'[1]MASTER LIST'!$K:$K,"&lt;=6/30/2022",'[1]MASTER LIST'!$C:$C,"4021",'[1]MASTER LIST'!$C:$C,"4023",'[1]MASTER LIST'!$C:$C,"4113")</f>
        <v>0</v>
      </c>
      <c r="R19" s="12">
        <f t="shared" si="5"/>
        <v>0</v>
      </c>
      <c r="S19" s="8" t="s">
        <v>19</v>
      </c>
      <c r="T19" s="11">
        <f>COUNTIFS('[1]MASTER LIST'!$K:$K,"&gt;=7/1/2022",'[1]MASTER LIST'!$K:$K,"&lt;=7/31/2022",'[1]MASTER LIST'!$C:$C,"4021",'[1]MASTER LIST'!$C:$C,"4023",'[1]MASTER LIST'!$C:$C,"4113")</f>
        <v>0</v>
      </c>
      <c r="U19" s="12">
        <f t="shared" si="6"/>
        <v>0</v>
      </c>
      <c r="V19" s="8" t="s">
        <v>19</v>
      </c>
      <c r="W19" s="11">
        <f>COUNTIFS('[1]MASTER LIST'!$K:$K,"&gt;=8/1/2022",'[1]MASTER LIST'!$K:$K,"&lt;=8/31/2022",'[1]MASTER LIST'!$C:$C,"4021",'[1]MASTER LIST'!$C:$C,"4023",'[1]MASTER LIST'!$C:$C,"4113")</f>
        <v>0</v>
      </c>
      <c r="X19" s="12">
        <f t="shared" si="7"/>
        <v>0</v>
      </c>
      <c r="Y19" s="8" t="s">
        <v>19</v>
      </c>
      <c r="Z19" s="11">
        <f>COUNTIFS('[1]MASTER LIST'!$K:$K,"&gt;=9/1/2022",'[1]MASTER LIST'!$K:$K,"&lt;=9/30/2022",'[1]MASTER LIST'!$C:$C,"4021",'[1]MASTER LIST'!$C:$C,"4023",'[1]MASTER LIST'!$C:$C,"4113")</f>
        <v>0</v>
      </c>
      <c r="AA19" s="12">
        <f t="shared" si="8"/>
        <v>0</v>
      </c>
      <c r="AB19" s="8" t="s">
        <v>19</v>
      </c>
      <c r="AC19" s="11">
        <f>COUNTIFS('[1]MASTER LIST'!$K:$K,"&gt;=10/1/2022",'[1]MASTER LIST'!$K:$K,"&lt;=10/31/2022",'[1]MASTER LIST'!$C:$C,"4021",'[1]MASTER LIST'!$C:$C,"4023",'[1]MASTER LIST'!$C:$C,"4113")</f>
        <v>0</v>
      </c>
      <c r="AD19" s="12">
        <f t="shared" si="9"/>
        <v>0</v>
      </c>
      <c r="AE19" s="8" t="s">
        <v>19</v>
      </c>
      <c r="AF19" s="11">
        <f>COUNTIFS('[1]MASTER LIST'!$K:$K,"&gt;=11/1/2022",'[1]MASTER LIST'!$K:$K,"&lt;=11/30/2022",'[1]MASTER LIST'!$C:$C,"4021",'[1]MASTER LIST'!$C:$C,"4023",'[1]MASTER LIST'!$C:$C,"4113")</f>
        <v>0</v>
      </c>
      <c r="AG19" s="12">
        <f t="shared" si="10"/>
        <v>0</v>
      </c>
      <c r="AH19" s="8" t="s">
        <v>19</v>
      </c>
      <c r="AI19" s="11">
        <f>COUNTIFS('[1]MASTER LIST'!$K:$K,"&gt;=12/1/2022",'[1]MASTER LIST'!$K:$K,"&lt;=12/31/2022",'[1]MASTER LIST'!$C:$C,"4021",'[1]MASTER LIST'!$C:$C,"4023",'[1]MASTER LIST'!$C:$C,"4113")</f>
        <v>0</v>
      </c>
      <c r="AJ19" s="12">
        <f t="shared" si="11"/>
        <v>0</v>
      </c>
    </row>
    <row r="20" spans="1:36">
      <c r="A20" s="8" t="s">
        <v>20</v>
      </c>
      <c r="B20" s="11">
        <f>COUNTIFS('[1]MASTER LIST'!K:K,"&gt;=1/1/2022",'[1]MASTER LIST'!K:K,"&lt;=1/31/2022",'[1]MASTER LIST'!C:C,"1175*")</f>
        <v>0</v>
      </c>
      <c r="C20" s="12">
        <f t="shared" si="0"/>
        <v>0</v>
      </c>
      <c r="D20" s="8" t="s">
        <v>20</v>
      </c>
      <c r="E20" s="11">
        <f>COUNTIFS('[1]MASTER LIST'!$K:$K,"&gt;=2/1/2022",'[1]MASTER LIST'!$K:$K,"&lt;=2/28/2022",'[1]MASTER LIST'!$C:$C,"1175*")</f>
        <v>0</v>
      </c>
      <c r="F20" s="12">
        <f t="shared" si="1"/>
        <v>0</v>
      </c>
      <c r="G20" s="8" t="s">
        <v>20</v>
      </c>
      <c r="H20" s="11">
        <f>COUNTIFS('[1]MASTER LIST'!$K:$K,"&gt;=3/1/2022",'[1]MASTER LIST'!$K:$K,"&lt;=3/31/2022",'[1]MASTER LIST'!$C:$C,"1175*")</f>
        <v>0</v>
      </c>
      <c r="I20" s="12">
        <f t="shared" si="2"/>
        <v>0</v>
      </c>
      <c r="J20" s="8" t="s">
        <v>20</v>
      </c>
      <c r="K20" s="11">
        <f>COUNTIFS('[1]MASTER LIST'!$K:$K,"&gt;=4/1/2022",'[1]MASTER LIST'!$K:$K,"&lt;=4/30/2022",'[1]MASTER LIST'!$C:$C,"1175*")</f>
        <v>0</v>
      </c>
      <c r="L20" s="12">
        <f t="shared" si="3"/>
        <v>0</v>
      </c>
      <c r="M20" s="8" t="s">
        <v>20</v>
      </c>
      <c r="N20" s="11">
        <f>COUNTIFS('[1]MASTER LIST'!$K:$K,"&gt;=5/1/2022",'[1]MASTER LIST'!$K:$K,"&lt;=5/31/2022",'[1]MASTER LIST'!$C:$C,"1175*")</f>
        <v>0</v>
      </c>
      <c r="O20" s="12">
        <f t="shared" si="4"/>
        <v>0</v>
      </c>
      <c r="P20" s="8" t="s">
        <v>20</v>
      </c>
      <c r="Q20" s="11">
        <f>COUNTIFS('[1]MASTER LIST'!$K:$K,"&gt;=6/1/2022",'[1]MASTER LIST'!$K:$K,"&lt;=6/30/2022",'[1]MASTER LIST'!$C:$C,"1175*")</f>
        <v>0</v>
      </c>
      <c r="R20" s="12">
        <f t="shared" si="5"/>
        <v>0</v>
      </c>
      <c r="S20" s="8" t="s">
        <v>20</v>
      </c>
      <c r="T20" s="11">
        <f>COUNTIFS('[1]MASTER LIST'!$K:$K,"&gt;=7/1/2022",'[1]MASTER LIST'!$K:$K,"&lt;=7/31/2022",'[1]MASTER LIST'!$C:$C,"1175*")</f>
        <v>0</v>
      </c>
      <c r="U20" s="12">
        <f t="shared" si="6"/>
        <v>0</v>
      </c>
      <c r="V20" s="8" t="s">
        <v>20</v>
      </c>
      <c r="W20" s="11">
        <f>COUNTIFS('[1]MASTER LIST'!$K:$K,"&gt;=8/1/2022",'[1]MASTER LIST'!$K:$K,"&lt;=8/31/2022",'[1]MASTER LIST'!$C:$C,"1175*")</f>
        <v>0</v>
      </c>
      <c r="X20" s="12">
        <f t="shared" si="7"/>
        <v>0</v>
      </c>
      <c r="Y20" s="8" t="s">
        <v>20</v>
      </c>
      <c r="Z20" s="11">
        <f>COUNTIFS('[1]MASTER LIST'!$K:$K,"&gt;=9/1/2022",'[1]MASTER LIST'!$K:$K,"&lt;=9/30/2022",'[1]MASTER LIST'!$C:$C,"1175*")</f>
        <v>0</v>
      </c>
      <c r="AA20" s="12">
        <f t="shared" si="8"/>
        <v>0</v>
      </c>
      <c r="AB20" s="8" t="s">
        <v>20</v>
      </c>
      <c r="AC20" s="11">
        <f>COUNTIFS('[1]MASTER LIST'!$K:$K,"&gt;=10/1/2022",'[1]MASTER LIST'!$K:$K,"&lt;=10/31/2022",'[1]MASTER LIST'!$C:$C,"1175*")</f>
        <v>0</v>
      </c>
      <c r="AD20" s="12">
        <f t="shared" si="9"/>
        <v>0</v>
      </c>
      <c r="AE20" s="8" t="s">
        <v>20</v>
      </c>
      <c r="AF20" s="11">
        <f>COUNTIFS('[1]MASTER LIST'!$K:$K,"&gt;=11/1/2022",'[1]MASTER LIST'!$K:$K,"&lt;=11/30/2022",'[1]MASTER LIST'!$C:$C,"1175*")</f>
        <v>0</v>
      </c>
      <c r="AG20" s="12">
        <f t="shared" si="10"/>
        <v>0</v>
      </c>
      <c r="AH20" s="8" t="s">
        <v>20</v>
      </c>
      <c r="AI20" s="11">
        <f>COUNTIFS('[1]MASTER LIST'!$K:$K,"&gt;=12/1/2022",'[1]MASTER LIST'!$K:$K,"&lt;=12/31/2022",'[1]MASTER LIST'!$C:$C,"1175*")</f>
        <v>0</v>
      </c>
      <c r="AJ20" s="12">
        <f t="shared" si="11"/>
        <v>0</v>
      </c>
    </row>
    <row r="21" spans="1:36">
      <c r="A21" s="8" t="s">
        <v>21</v>
      </c>
      <c r="B21" s="11">
        <f>COUNTIFS('[1]MASTER LIST'!K:K,"&gt;=1/1/2022",'[1]MASTER LIST'!K:K,"&lt;=1/31/2022",'[1]MASTER LIST'!C:C,"1127*")</f>
        <v>3</v>
      </c>
      <c r="C21" s="12">
        <f t="shared" si="0"/>
        <v>3</v>
      </c>
      <c r="D21" s="8" t="s">
        <v>21</v>
      </c>
      <c r="E21" s="11">
        <f>COUNTIFS('[1]MASTER LIST'!$K:$K,"&gt;=2/1/2022",'[1]MASTER LIST'!$K:$K,"&lt;=2/28/2022",'[1]MASTER LIST'!$C:$C,"1127*")</f>
        <v>0</v>
      </c>
      <c r="F21" s="12">
        <f t="shared" si="1"/>
        <v>3</v>
      </c>
      <c r="G21" s="8" t="s">
        <v>21</v>
      </c>
      <c r="H21" s="11">
        <f>COUNTIFS('[1]MASTER LIST'!$K:$K,"&gt;=3/1/2022",'[1]MASTER LIST'!$K:$K,"&lt;=3/31/2022",'[1]MASTER LIST'!$C:$C,"1127*")</f>
        <v>0</v>
      </c>
      <c r="I21" s="12">
        <f t="shared" si="2"/>
        <v>3</v>
      </c>
      <c r="J21" s="8" t="s">
        <v>21</v>
      </c>
      <c r="K21" s="11">
        <f>COUNTIFS('[1]MASTER LIST'!$K:$K,"&gt;=4/1/2022",'[1]MASTER LIST'!$K:$K,"&lt;=4/30/2022",'[1]MASTER LIST'!$C:$C,"1127*")</f>
        <v>0</v>
      </c>
      <c r="L21" s="12">
        <f t="shared" si="3"/>
        <v>3</v>
      </c>
      <c r="M21" s="8" t="s">
        <v>21</v>
      </c>
      <c r="N21" s="11">
        <f>COUNTIFS('[1]MASTER LIST'!$K:$K,"&gt;=5/1/2022",'[1]MASTER LIST'!$K:$K,"&lt;=5/31/2022",'[1]MASTER LIST'!$C:$C,"1127*")</f>
        <v>0</v>
      </c>
      <c r="O21" s="12">
        <f t="shared" si="4"/>
        <v>3</v>
      </c>
      <c r="P21" s="8" t="s">
        <v>21</v>
      </c>
      <c r="Q21" s="11">
        <f>COUNTIFS('[1]MASTER LIST'!$K:$K,"&gt;=6/1/2022",'[1]MASTER LIST'!$K:$K,"&lt;=6/30/2022",'[1]MASTER LIST'!$C:$C,"1127*")</f>
        <v>0</v>
      </c>
      <c r="R21" s="12">
        <f t="shared" si="5"/>
        <v>3</v>
      </c>
      <c r="S21" s="8" t="s">
        <v>21</v>
      </c>
      <c r="T21" s="11">
        <f>COUNTIFS('[1]MASTER LIST'!$K:$K,"&gt;=7/1/2022",'[1]MASTER LIST'!$K:$K,"&lt;=7/31/2022",'[1]MASTER LIST'!$C:$C,"1127*")</f>
        <v>0</v>
      </c>
      <c r="U21" s="12">
        <f t="shared" si="6"/>
        <v>3</v>
      </c>
      <c r="V21" s="8" t="s">
        <v>21</v>
      </c>
      <c r="W21" s="11">
        <f>COUNTIFS('[1]MASTER LIST'!$K:$K,"&gt;=8/1/2022",'[1]MASTER LIST'!$K:$K,"&lt;=8/31/2022",'[1]MASTER LIST'!$C:$C,"1127*")</f>
        <v>2</v>
      </c>
      <c r="X21" s="12">
        <f t="shared" si="7"/>
        <v>5</v>
      </c>
      <c r="Y21" s="8" t="s">
        <v>21</v>
      </c>
      <c r="Z21" s="11">
        <f>COUNTIFS('[1]MASTER LIST'!$K:$K,"&gt;=9/1/2022",'[1]MASTER LIST'!$K:$K,"&lt;=9/30/2022",'[1]MASTER LIST'!$C:$C,"1127*")</f>
        <v>0</v>
      </c>
      <c r="AA21" s="12">
        <f t="shared" si="8"/>
        <v>5</v>
      </c>
      <c r="AB21" s="8" t="s">
        <v>21</v>
      </c>
      <c r="AC21" s="11">
        <f>COUNTIFS('[1]MASTER LIST'!$K:$K,"&gt;=10/1/2022",'[1]MASTER LIST'!$K:$K,"&lt;=10/31/2022",'[1]MASTER LIST'!$C:$C,"1127*")</f>
        <v>0</v>
      </c>
      <c r="AD21" s="12">
        <f t="shared" si="9"/>
        <v>5</v>
      </c>
      <c r="AE21" s="8" t="s">
        <v>21</v>
      </c>
      <c r="AF21" s="11">
        <f>COUNTIFS('[1]MASTER LIST'!$K:$K,"&gt;=11/1/2022",'[1]MASTER LIST'!$K:$K,"&lt;=11/30/2022",'[1]MASTER LIST'!$C:$C,"1127*")</f>
        <v>1</v>
      </c>
      <c r="AG21" s="12">
        <f t="shared" si="10"/>
        <v>6</v>
      </c>
      <c r="AH21" s="8" t="s">
        <v>21</v>
      </c>
      <c r="AI21" s="11">
        <f>COUNTIFS('[1]MASTER LIST'!$K:$K,"&gt;=12/1/2022",'[1]MASTER LIST'!$K:$K,"&lt;=12/31/2022",'[1]MASTER LIST'!$C:$C,"1127*")</f>
        <v>0</v>
      </c>
      <c r="AJ21" s="12">
        <f t="shared" si="11"/>
        <v>6</v>
      </c>
    </row>
    <row r="22" spans="1:36">
      <c r="A22" s="8" t="s">
        <v>22</v>
      </c>
      <c r="B22" s="11">
        <f>COUNTIFS('[1]MASTER LIST'!K:K,"&gt;=1/1/2022",'[1]MASTER LIST'!K:K,"&lt;=1/31/2022",'[1]MASTER LIST'!C:C,"3752A4")</f>
        <v>1</v>
      </c>
      <c r="C22" s="12">
        <f t="shared" si="0"/>
        <v>1</v>
      </c>
      <c r="D22" s="8" t="s">
        <v>22</v>
      </c>
      <c r="E22" s="11">
        <f>COUNTIFS('[1]MASTER LIST'!$K:$K,"&gt;=2/1/2022",'[1]MASTER LIST'!$K:$K,"&lt;=2/28/2022",'[1]MASTER LIST'!$C:$C,"3752A4")</f>
        <v>1</v>
      </c>
      <c r="F22" s="12">
        <f t="shared" si="1"/>
        <v>2</v>
      </c>
      <c r="G22" s="8" t="s">
        <v>22</v>
      </c>
      <c r="H22" s="11">
        <f>COUNTIFS('[1]MASTER LIST'!$K:$K,"&gt;=3/1/2022",'[1]MASTER LIST'!$K:$K,"&lt;=3/31/2022",'[1]MASTER LIST'!$C:$C,"3752A4")</f>
        <v>1</v>
      </c>
      <c r="I22" s="12">
        <f t="shared" si="2"/>
        <v>3</v>
      </c>
      <c r="J22" s="8" t="s">
        <v>22</v>
      </c>
      <c r="K22" s="11">
        <f>COUNTIFS('[1]MASTER LIST'!$K:$K,"&gt;=4/1/2022",'[1]MASTER LIST'!$K:$K,"&lt;=4/30/2022",'[1]MASTER LIST'!$C:$C,"3752A4")</f>
        <v>6</v>
      </c>
      <c r="L22" s="12">
        <f t="shared" si="3"/>
        <v>9</v>
      </c>
      <c r="M22" s="8" t="s">
        <v>22</v>
      </c>
      <c r="N22" s="11">
        <f>COUNTIFS('[1]MASTER LIST'!$K:$K,"&gt;=5/1/2022",'[1]MASTER LIST'!$K:$K,"&lt;=5/31/2022",'[1]MASTER LIST'!$C:$C,"3752A4")</f>
        <v>6</v>
      </c>
      <c r="O22" s="12">
        <f t="shared" si="4"/>
        <v>15</v>
      </c>
      <c r="P22" s="8" t="s">
        <v>22</v>
      </c>
      <c r="Q22" s="11">
        <f>COUNTIFS('[1]MASTER LIST'!$K:$K,"&gt;=6/1/2022",'[1]MASTER LIST'!$K:$K,"&lt;=6/30/2022",'[1]MASTER LIST'!$C:$C,"3752A4")</f>
        <v>0</v>
      </c>
      <c r="R22" s="12">
        <f t="shared" si="5"/>
        <v>15</v>
      </c>
      <c r="S22" s="8" t="s">
        <v>22</v>
      </c>
      <c r="T22" s="11">
        <f>COUNTIFS('[1]MASTER LIST'!$K:$K,"&gt;=7/1/2022",'[1]MASTER LIST'!$K:$K,"&lt;=7/31/2022",'[1]MASTER LIST'!$C:$C,"3752A4")</f>
        <v>0</v>
      </c>
      <c r="U22" s="12">
        <f t="shared" si="6"/>
        <v>15</v>
      </c>
      <c r="V22" s="8" t="s">
        <v>22</v>
      </c>
      <c r="W22" s="11">
        <f>COUNTIFS('[1]MASTER LIST'!$K:$K,"&gt;=8/1/2022",'[1]MASTER LIST'!$K:$K,"&lt;=8/31/2022",'[1]MASTER LIST'!$C:$C,"3752A4")</f>
        <v>1</v>
      </c>
      <c r="X22" s="12">
        <f t="shared" si="7"/>
        <v>16</v>
      </c>
      <c r="Y22" s="8" t="s">
        <v>22</v>
      </c>
      <c r="Z22" s="11">
        <f>COUNTIFS('[1]MASTER LIST'!$K:$K,"&gt;=9/1/2022",'[1]MASTER LIST'!$K:$K,"&lt;=9/30/2022",'[1]MASTER LIST'!$C:$C,"3752A4")</f>
        <v>0</v>
      </c>
      <c r="AA22" s="12">
        <f t="shared" si="8"/>
        <v>16</v>
      </c>
      <c r="AB22" s="8" t="s">
        <v>22</v>
      </c>
      <c r="AC22" s="11">
        <f>COUNTIFS('[1]MASTER LIST'!$K:$K,"&gt;=10/1/2022",'[1]MASTER LIST'!$K:$K,"&lt;=10/31/2022",'[1]MASTER LIST'!$C:$C,"3752A4")</f>
        <v>0</v>
      </c>
      <c r="AD22" s="12">
        <f t="shared" si="9"/>
        <v>16</v>
      </c>
      <c r="AE22" s="8" t="s">
        <v>22</v>
      </c>
      <c r="AF22" s="11">
        <f>COUNTIFS('[1]MASTER LIST'!$K:$K,"&gt;=11/1/2022",'[1]MASTER LIST'!$K:$K,"&lt;=11/30/2022",'[1]MASTER LIST'!$C:$C,"3752A4")</f>
        <v>2</v>
      </c>
      <c r="AG22" s="12">
        <f t="shared" si="10"/>
        <v>18</v>
      </c>
      <c r="AH22" s="8" t="s">
        <v>22</v>
      </c>
      <c r="AI22" s="11">
        <f>COUNTIFS('[1]MASTER LIST'!$K:$K,"&gt;=12/1/2022",'[1]MASTER LIST'!$K:$K,"&lt;=12/31/2022",'[1]MASTER LIST'!$C:$C,"3752A4")</f>
        <v>6</v>
      </c>
      <c r="AJ22" s="12">
        <f t="shared" si="11"/>
        <v>24</v>
      </c>
    </row>
    <row r="23" spans="1:36">
      <c r="A23" s="8" t="s">
        <v>23</v>
      </c>
      <c r="B23" s="11">
        <f>COUNTIFS('[1]MASTER LIST'!K:K,"&gt;=1/1/2022",'[1]MASTER LIST'!K:K,"&lt;=1/31/2022",'[1]MASTER LIST'!C:C,"1229*")</f>
        <v>0</v>
      </c>
      <c r="C23" s="12">
        <f t="shared" si="0"/>
        <v>0</v>
      </c>
      <c r="D23" s="8" t="s">
        <v>23</v>
      </c>
      <c r="E23" s="11">
        <f>COUNTIFS('[1]MASTER LIST'!$K:$K,"&gt;=2/1/2022",'[1]MASTER LIST'!$K:$K,"&lt;=2/28/2022",'[1]MASTER LIST'!$C:$C,"1229*")</f>
        <v>1</v>
      </c>
      <c r="F23" s="12">
        <f t="shared" si="1"/>
        <v>1</v>
      </c>
      <c r="G23" s="8" t="s">
        <v>23</v>
      </c>
      <c r="H23" s="11">
        <f>COUNTIFS('[1]MASTER LIST'!$K:$K,"&gt;=3/1/2022",'[1]MASTER LIST'!$K:$K,"&lt;=3/31/2022",'[1]MASTER LIST'!$C:$C,"1229*")</f>
        <v>0</v>
      </c>
      <c r="I23" s="12">
        <f t="shared" si="2"/>
        <v>1</v>
      </c>
      <c r="J23" s="8" t="s">
        <v>23</v>
      </c>
      <c r="K23" s="11">
        <f>COUNTIFS('[1]MASTER LIST'!$K:$K,"&gt;=4/1/2022",'[1]MASTER LIST'!$K:$K,"&lt;=4/30/2022",'[1]MASTER LIST'!$C:$C,"1229*")</f>
        <v>0</v>
      </c>
      <c r="L23" s="12">
        <f t="shared" si="3"/>
        <v>1</v>
      </c>
      <c r="M23" s="8" t="s">
        <v>23</v>
      </c>
      <c r="N23" s="11">
        <f>COUNTIFS('[1]MASTER LIST'!$K:$K,"&gt;=5/1/2022",'[1]MASTER LIST'!$K:$K,"&lt;=5/31/2022",'[1]MASTER LIST'!$C:$C,"1229*")</f>
        <v>0</v>
      </c>
      <c r="O23" s="12">
        <f t="shared" si="4"/>
        <v>1</v>
      </c>
      <c r="P23" s="8" t="s">
        <v>23</v>
      </c>
      <c r="Q23" s="11">
        <f>COUNTIFS('[1]MASTER LIST'!$K:$K,"&gt;=6/1/2022",'[1]MASTER LIST'!$K:$K,"&lt;=6/30/2022",'[1]MASTER LIST'!$C:$C,"1229*")</f>
        <v>2</v>
      </c>
      <c r="R23" s="12">
        <f t="shared" si="5"/>
        <v>3</v>
      </c>
      <c r="S23" s="8" t="s">
        <v>23</v>
      </c>
      <c r="T23" s="11">
        <f>COUNTIFS('[1]MASTER LIST'!$K:$K,"&gt;=7/1/2022",'[1]MASTER LIST'!$K:$K,"&lt;=7/31/2022",'[1]MASTER LIST'!$C:$C,"1229*")</f>
        <v>1</v>
      </c>
      <c r="U23" s="12">
        <f t="shared" si="6"/>
        <v>4</v>
      </c>
      <c r="V23" s="8" t="s">
        <v>23</v>
      </c>
      <c r="W23" s="11">
        <f>COUNTIFS('[1]MASTER LIST'!$K:$K,"&gt;=8/1/2022",'[1]MASTER LIST'!$K:$K,"&lt;=8/31/2022",'[1]MASTER LIST'!$C:$C,"1229*")</f>
        <v>0</v>
      </c>
      <c r="X23" s="12">
        <f t="shared" si="7"/>
        <v>4</v>
      </c>
      <c r="Y23" s="8" t="s">
        <v>23</v>
      </c>
      <c r="Z23" s="11">
        <f>COUNTIFS('[1]MASTER LIST'!$K:$K,"&gt;=9/1/2022",'[1]MASTER LIST'!$K:$K,"&lt;=9/30/2022",'[1]MASTER LIST'!$C:$C,"1229*")</f>
        <v>0</v>
      </c>
      <c r="AA23" s="12">
        <f t="shared" si="8"/>
        <v>4</v>
      </c>
      <c r="AB23" s="8" t="s">
        <v>23</v>
      </c>
      <c r="AC23" s="11">
        <f>COUNTIFS('[1]MASTER LIST'!$K:$K,"&gt;=10/1/2022",'[1]MASTER LIST'!$K:$K,"&lt;=10/31/2022",'[1]MASTER LIST'!$C:$C,"1229*")</f>
        <v>1</v>
      </c>
      <c r="AD23" s="12">
        <f t="shared" si="9"/>
        <v>5</v>
      </c>
      <c r="AE23" s="8" t="s">
        <v>23</v>
      </c>
      <c r="AF23" s="11">
        <f>COUNTIFS('[1]MASTER LIST'!$K:$K,"&gt;=11/1/2022",'[1]MASTER LIST'!$K:$K,"&lt;=11/30/2022",'[1]MASTER LIST'!$C:$C,"1229*")</f>
        <v>0</v>
      </c>
      <c r="AG23" s="12">
        <f t="shared" si="10"/>
        <v>5</v>
      </c>
      <c r="AH23" s="8" t="s">
        <v>23</v>
      </c>
      <c r="AI23" s="11">
        <f>COUNTIFS('[1]MASTER LIST'!$K:$K,"&gt;=12/1/2022",'[1]MASTER LIST'!$K:$K,"&lt;=12/31/2022",'[1]MASTER LIST'!$C:$C,"1229*")</f>
        <v>0</v>
      </c>
      <c r="AJ23" s="12">
        <f t="shared" si="11"/>
        <v>5</v>
      </c>
    </row>
    <row r="24" spans="1:36">
      <c r="A24" s="8" t="s">
        <v>24</v>
      </c>
      <c r="B24" s="11">
        <f>COUNTIFS('[1]MASTER LIST'!K:K,"&gt;=1/1/2022",'[1]MASTER LIST'!K:K,"&lt;=1/31/2022",'[1]MASTER LIST'!C:C,"1174*")</f>
        <v>0</v>
      </c>
      <c r="C24" s="12">
        <f t="shared" si="0"/>
        <v>0</v>
      </c>
      <c r="D24" s="8" t="s">
        <v>24</v>
      </c>
      <c r="E24" s="11">
        <f>COUNTIFS('[1]MASTER LIST'!$K:$K,"&gt;=2/1/2022",'[1]MASTER LIST'!$K:$K,"&lt;=2/28/2022",'[1]MASTER LIST'!$C:$C,"1174*")</f>
        <v>0</v>
      </c>
      <c r="F24" s="12">
        <f t="shared" si="1"/>
        <v>0</v>
      </c>
      <c r="G24" s="8" t="s">
        <v>24</v>
      </c>
      <c r="H24" s="11">
        <f>COUNTIFS('[1]MASTER LIST'!$K:$K,"&gt;=3/1/2022",'[1]MASTER LIST'!$K:$K,"&lt;=3/31/2022",'[1]MASTER LIST'!$C:$C,"1174*")</f>
        <v>0</v>
      </c>
      <c r="I24" s="12">
        <f t="shared" si="2"/>
        <v>0</v>
      </c>
      <c r="J24" s="8" t="s">
        <v>24</v>
      </c>
      <c r="K24" s="11">
        <f>COUNTIFS('[1]MASTER LIST'!$K:$K,"&gt;=4/1/2022",'[1]MASTER LIST'!$K:$K,"&lt;=4/30/2022",'[1]MASTER LIST'!$C:$C,"1174*")</f>
        <v>0</v>
      </c>
      <c r="L24" s="12">
        <f t="shared" si="3"/>
        <v>0</v>
      </c>
      <c r="M24" s="8" t="s">
        <v>24</v>
      </c>
      <c r="N24" s="11">
        <f>COUNTIFS('[1]MASTER LIST'!$K:$K,"&gt;=5/1/2022",'[1]MASTER LIST'!$K:$K,"&lt;=5/31/2022",'[1]MASTER LIST'!$C:$C,"1174*")</f>
        <v>0</v>
      </c>
      <c r="O24" s="12">
        <f t="shared" si="4"/>
        <v>0</v>
      </c>
      <c r="P24" s="8" t="s">
        <v>24</v>
      </c>
      <c r="Q24" s="11">
        <f>COUNTIFS('[1]MASTER LIST'!$K:$K,"&gt;=6/1/2022",'[1]MASTER LIST'!$K:$K,"&lt;=6/30/2022",'[1]MASTER LIST'!$C:$C,"1174*")</f>
        <v>0</v>
      </c>
      <c r="R24" s="12">
        <f t="shared" si="5"/>
        <v>0</v>
      </c>
      <c r="S24" s="8" t="s">
        <v>24</v>
      </c>
      <c r="T24" s="11">
        <f>COUNTIFS('[1]MASTER LIST'!$K:$K,"&gt;=7/1/2022",'[1]MASTER LIST'!$K:$K,"&lt;=7/31/2022",'[1]MASTER LIST'!$C:$C,"1174*")</f>
        <v>0</v>
      </c>
      <c r="U24" s="12">
        <f t="shared" si="6"/>
        <v>0</v>
      </c>
      <c r="V24" s="8" t="s">
        <v>24</v>
      </c>
      <c r="W24" s="11">
        <f>COUNTIFS('[1]MASTER LIST'!$K:$K,"&gt;=8/1/2022",'[1]MASTER LIST'!$K:$K,"&lt;=8/31/2022",'[1]MASTER LIST'!$C:$C,"1174*")</f>
        <v>0</v>
      </c>
      <c r="X24" s="12">
        <f t="shared" si="7"/>
        <v>0</v>
      </c>
      <c r="Y24" s="8" t="s">
        <v>24</v>
      </c>
      <c r="Z24" s="11">
        <f>COUNTIFS('[1]MASTER LIST'!$K:$K,"&gt;=9/1/2022",'[1]MASTER LIST'!$K:$K,"&lt;=9/30/2022",'[1]MASTER LIST'!$C:$C,"1174*")</f>
        <v>0</v>
      </c>
      <c r="AA24" s="12">
        <f t="shared" si="8"/>
        <v>0</v>
      </c>
      <c r="AB24" s="8" t="s">
        <v>24</v>
      </c>
      <c r="AC24" s="11">
        <f>COUNTIFS('[1]MASTER LIST'!$K:$K,"&gt;=10/1/2022",'[1]MASTER LIST'!$K:$K,"&lt;=10/31/2022",'[1]MASTER LIST'!$C:$C,"1174*")</f>
        <v>0</v>
      </c>
      <c r="AD24" s="12">
        <f t="shared" si="9"/>
        <v>0</v>
      </c>
      <c r="AE24" s="8" t="s">
        <v>24</v>
      </c>
      <c r="AF24" s="11">
        <f>COUNTIFS('[1]MASTER LIST'!$K:$K,"&gt;=11/1/2022",'[1]MASTER LIST'!$K:$K,"&lt;=11/30/2022",'[1]MASTER LIST'!$C:$C,"1174*")</f>
        <v>0</v>
      </c>
      <c r="AG24" s="12">
        <f t="shared" si="10"/>
        <v>0</v>
      </c>
      <c r="AH24" s="8" t="s">
        <v>24</v>
      </c>
      <c r="AI24" s="11">
        <f>COUNTIFS('[1]MASTER LIST'!$K:$K,"&gt;=12/1/2022",'[1]MASTER LIST'!$K:$K,"&lt;=12/31/2022",'[1]MASTER LIST'!$C:$C,"1174*")</f>
        <v>0</v>
      </c>
      <c r="AJ24" s="12">
        <f t="shared" si="11"/>
        <v>0</v>
      </c>
    </row>
    <row r="25" spans="1:36">
      <c r="A25" s="8" t="s">
        <v>25</v>
      </c>
      <c r="B25" s="11">
        <f>COUNTIFS('[1]MASTER LIST'!K:K,"&gt;=1/1/2022",'[1]MASTER LIST'!K:K,"&lt;=1/31/2022",'[1]MASTER LIST'!C:C,"1180*")</f>
        <v>9</v>
      </c>
      <c r="C25" s="12">
        <f t="shared" si="0"/>
        <v>9</v>
      </c>
      <c r="D25" s="8" t="s">
        <v>25</v>
      </c>
      <c r="E25" s="11">
        <f>COUNTIFS('[1]MASTER LIST'!$K:$K,"&gt;=2/1/2022",'[1]MASTER LIST'!$K:$K,"&lt;=2/28/2022",'[1]MASTER LIST'!$C:$C,"1180*")</f>
        <v>2</v>
      </c>
      <c r="F25" s="12">
        <f t="shared" si="1"/>
        <v>11</v>
      </c>
      <c r="G25" s="8" t="s">
        <v>25</v>
      </c>
      <c r="H25" s="11">
        <f>COUNTIFS('[1]MASTER LIST'!$K:$K,"&gt;=3/1/2022",'[1]MASTER LIST'!$K:$K,"&lt;=3/31/2022",'[1]MASTER LIST'!$C:$C,"1180*")</f>
        <v>3</v>
      </c>
      <c r="I25" s="12">
        <f t="shared" si="2"/>
        <v>14</v>
      </c>
      <c r="J25" s="8" t="s">
        <v>25</v>
      </c>
      <c r="K25" s="11">
        <f>COUNTIFS('[1]MASTER LIST'!$K:$K,"&gt;=4/1/2022",'[1]MASTER LIST'!$K:$K,"&lt;=4/30/2022",'[1]MASTER LIST'!$C:$C,"1180*")</f>
        <v>2</v>
      </c>
      <c r="L25" s="12">
        <f t="shared" si="3"/>
        <v>16</v>
      </c>
      <c r="M25" s="8" t="s">
        <v>25</v>
      </c>
      <c r="N25" s="11">
        <f>COUNTIFS('[1]MASTER LIST'!$K:$K,"&gt;=5/1/2022",'[1]MASTER LIST'!$K:$K,"&lt;=5/31/2022",'[1]MASTER LIST'!$C:$C,"1180*")</f>
        <v>6</v>
      </c>
      <c r="O25" s="12">
        <f t="shared" si="4"/>
        <v>22</v>
      </c>
      <c r="P25" s="8" t="s">
        <v>25</v>
      </c>
      <c r="Q25" s="11">
        <f>COUNTIFS('[1]MASTER LIST'!$K:$K,"&gt;=6/1/2022",'[1]MASTER LIST'!$K:$K,"&lt;=6/30/2022",'[1]MASTER LIST'!$C:$C,"1180*")</f>
        <v>4</v>
      </c>
      <c r="R25" s="12">
        <f t="shared" si="5"/>
        <v>26</v>
      </c>
      <c r="S25" s="8" t="s">
        <v>25</v>
      </c>
      <c r="T25" s="11">
        <f>COUNTIFS('[1]MASTER LIST'!$K:$K,"&gt;=7/1/2022",'[1]MASTER LIST'!$K:$K,"&lt;=7/31/2022",'[1]MASTER LIST'!$C:$C,"1180*")</f>
        <v>5</v>
      </c>
      <c r="U25" s="12">
        <f t="shared" si="6"/>
        <v>31</v>
      </c>
      <c r="V25" s="8" t="s">
        <v>25</v>
      </c>
      <c r="W25" s="11">
        <f>COUNTIFS('[1]MASTER LIST'!$K:$K,"&gt;=8/1/2022",'[1]MASTER LIST'!$K:$K,"&lt;=8/31/2022",'[1]MASTER LIST'!$C:$C,"1180*")</f>
        <v>0</v>
      </c>
      <c r="X25" s="12">
        <f t="shared" si="7"/>
        <v>31</v>
      </c>
      <c r="Y25" s="8" t="s">
        <v>25</v>
      </c>
      <c r="Z25" s="11">
        <f>COUNTIFS('[1]MASTER LIST'!$K:$K,"&gt;=9/1/2022",'[1]MASTER LIST'!$K:$K,"&lt;=9/30/2022",'[1]MASTER LIST'!$C:$C,"1180*")</f>
        <v>3</v>
      </c>
      <c r="AA25" s="12">
        <f t="shared" si="8"/>
        <v>34</v>
      </c>
      <c r="AB25" s="8" t="s">
        <v>25</v>
      </c>
      <c r="AC25" s="11">
        <f>COUNTIFS('[1]MASTER LIST'!$K:$K,"&gt;=10/1/2022",'[1]MASTER LIST'!$K:$K,"&lt;=10/31/2022",'[1]MASTER LIST'!$C:$C,"1180*")</f>
        <v>2</v>
      </c>
      <c r="AD25" s="12">
        <f t="shared" si="9"/>
        <v>36</v>
      </c>
      <c r="AE25" s="8" t="s">
        <v>25</v>
      </c>
      <c r="AF25" s="11">
        <f>COUNTIFS('[1]MASTER LIST'!$K:$K,"&gt;=11/1/2022",'[1]MASTER LIST'!$K:$K,"&lt;=11/30/2022",'[1]MASTER LIST'!$C:$C,"1180*")</f>
        <v>3</v>
      </c>
      <c r="AG25" s="12">
        <f t="shared" si="10"/>
        <v>39</v>
      </c>
      <c r="AH25" s="8" t="s">
        <v>25</v>
      </c>
      <c r="AI25" s="11">
        <f>COUNTIFS('[1]MASTER LIST'!$K:$K,"&gt;=12/1/2022",'[1]MASTER LIST'!$K:$K,"&lt;=12/31/2022",'[1]MASTER LIST'!$C:$C,"1180*")</f>
        <v>1</v>
      </c>
      <c r="AJ25" s="12">
        <f t="shared" si="11"/>
        <v>40</v>
      </c>
    </row>
    <row r="26" spans="1:36">
      <c r="A26" s="8" t="s">
        <v>26</v>
      </c>
      <c r="B26" s="11">
        <f>COUNTIFS('[1]MASTER LIST'!K:K,"&gt;=1/1/2022",'[1]MASTER LIST'!K:K,"&lt;=1/31/2022",'[1]MASTER LIST'!C:C,"3752A3*")</f>
        <v>0</v>
      </c>
      <c r="C26" s="12">
        <f t="shared" si="0"/>
        <v>0</v>
      </c>
      <c r="D26" s="8" t="s">
        <v>26</v>
      </c>
      <c r="E26" s="11">
        <f>COUNTIFS('[1]MASTER LIST'!$K:$K,"&gt;=2/1/2022",'[1]MASTER LIST'!$K:$K,"&lt;=2/28/2022",'[1]MASTER LIST'!$C:$C,"3752A3*")</f>
        <v>2</v>
      </c>
      <c r="F26" s="12">
        <f t="shared" si="1"/>
        <v>2</v>
      </c>
      <c r="G26" s="8" t="s">
        <v>26</v>
      </c>
      <c r="H26" s="11">
        <f>COUNTIFS('[1]MASTER LIST'!$K:$K,"&gt;=3/1/2022",'[1]MASTER LIST'!$K:$K,"&lt;=3/31/2022",'[1]MASTER LIST'!$C:$C,"3752A3*")</f>
        <v>0</v>
      </c>
      <c r="I26" s="12">
        <f t="shared" si="2"/>
        <v>2</v>
      </c>
      <c r="J26" s="8" t="s">
        <v>26</v>
      </c>
      <c r="K26" s="11">
        <f>COUNTIFS('[1]MASTER LIST'!$K:$K,"&gt;=4/1/2022",'[1]MASTER LIST'!$K:$K,"&lt;=4/30/2022",'[1]MASTER LIST'!$C:$C,"3752A3*")</f>
        <v>2</v>
      </c>
      <c r="L26" s="12">
        <f t="shared" si="3"/>
        <v>4</v>
      </c>
      <c r="M26" s="8" t="s">
        <v>26</v>
      </c>
      <c r="N26" s="11">
        <f>COUNTIFS('[1]MASTER LIST'!$K:$K,"&gt;=5/1/2022",'[1]MASTER LIST'!$K:$K,"&lt;=5/31/2022",'[1]MASTER LIST'!$C:$C,"3752A3*")</f>
        <v>3</v>
      </c>
      <c r="O26" s="12">
        <f t="shared" si="4"/>
        <v>7</v>
      </c>
      <c r="P26" s="8" t="s">
        <v>26</v>
      </c>
      <c r="Q26" s="11">
        <f>COUNTIFS('[1]MASTER LIST'!$K:$K,"&gt;=6/1/2022",'[1]MASTER LIST'!$K:$K,"&lt;=6/30/2022",'[1]MASTER LIST'!$C:$C,"3752A3*")</f>
        <v>2</v>
      </c>
      <c r="R26" s="12">
        <f t="shared" si="5"/>
        <v>9</v>
      </c>
      <c r="S26" s="8" t="s">
        <v>26</v>
      </c>
      <c r="T26" s="11">
        <f>COUNTIFS('[1]MASTER LIST'!$K:$K,"&gt;=7/1/2022",'[1]MASTER LIST'!$K:$K,"&lt;=7/31/2022",'[1]MASTER LIST'!$C:$C,"3752A3*")</f>
        <v>0</v>
      </c>
      <c r="U26" s="12">
        <f t="shared" si="6"/>
        <v>9</v>
      </c>
      <c r="V26" s="8" t="s">
        <v>26</v>
      </c>
      <c r="W26" s="11">
        <f>COUNTIFS('[1]MASTER LIST'!$K:$K,"&gt;=8/1/2022",'[1]MASTER LIST'!$K:$K,"&lt;=8/31/2022",'[1]MASTER LIST'!$C:$C,"3752A3*")</f>
        <v>1</v>
      </c>
      <c r="X26" s="12">
        <f t="shared" si="7"/>
        <v>10</v>
      </c>
      <c r="Y26" s="8" t="s">
        <v>26</v>
      </c>
      <c r="Z26" s="11">
        <f>COUNTIFS('[1]MASTER LIST'!$K:$K,"&gt;=9/1/2022",'[1]MASTER LIST'!$K:$K,"&lt;=9/30/2022",'[1]MASTER LIST'!$C:$C,"3752A3*")</f>
        <v>0</v>
      </c>
      <c r="AA26" s="12">
        <f t="shared" si="8"/>
        <v>10</v>
      </c>
      <c r="AB26" s="8" t="s">
        <v>26</v>
      </c>
      <c r="AC26" s="11">
        <f>COUNTIFS('[1]MASTER LIST'!$K:$K,"&gt;=10/1/2022",'[1]MASTER LIST'!$K:$K,"&lt;=10/31/2022",'[1]MASTER LIST'!$C:$C,"3752A3*")</f>
        <v>2</v>
      </c>
      <c r="AD26" s="12">
        <f t="shared" si="9"/>
        <v>12</v>
      </c>
      <c r="AE26" s="8" t="s">
        <v>26</v>
      </c>
      <c r="AF26" s="11">
        <f>COUNTIFS('[1]MASTER LIST'!$K:$K,"&gt;=11/1/2022",'[1]MASTER LIST'!$K:$K,"&lt;=11/30/2022",'[1]MASTER LIST'!$C:$C,"3752A3*")</f>
        <v>4</v>
      </c>
      <c r="AG26" s="12">
        <f t="shared" si="10"/>
        <v>16</v>
      </c>
      <c r="AH26" s="8" t="s">
        <v>26</v>
      </c>
      <c r="AI26" s="11">
        <f>COUNTIFS('[1]MASTER LIST'!$K:$K,"&gt;=12/1/2022",'[1]MASTER LIST'!$K:$K,"&lt;=12/31/2022",'[1]MASTER LIST'!$C:$C,"3752A3*")</f>
        <v>0</v>
      </c>
      <c r="AJ26" s="12">
        <f t="shared" si="11"/>
        <v>16</v>
      </c>
    </row>
    <row r="27" spans="1:36">
      <c r="A27" s="8" t="s">
        <v>27</v>
      </c>
      <c r="B27" s="11">
        <f>COUNTIFS('[1]MASTER LIST'!K:K,"&gt;=1/1/2022",'[1]MASTER LIST'!K:K,"&lt;=1/31/2022",'[1]MASTER LIST'!C:C,"37512AB*")</f>
        <v>3</v>
      </c>
      <c r="C27" s="12">
        <f t="shared" si="0"/>
        <v>3</v>
      </c>
      <c r="D27" s="8" t="s">
        <v>27</v>
      </c>
      <c r="E27" s="11">
        <f>COUNTIFS('[1]MASTER LIST'!$K:$K,"&gt;=2/1/2022",'[1]MASTER LIST'!$K:$K,"&lt;=2/28/2022",'[1]MASTER LIST'!$C:$C,"37512AB*")</f>
        <v>0</v>
      </c>
      <c r="F27" s="12">
        <f t="shared" si="1"/>
        <v>3</v>
      </c>
      <c r="G27" s="8" t="s">
        <v>27</v>
      </c>
      <c r="H27" s="11">
        <f>COUNTIFS('[1]MASTER LIST'!$K:$K,"&gt;=3/1/2022",'[1]MASTER LIST'!$K:$K,"&lt;=3/31/2022",'[1]MASTER LIST'!$C:$C,"37512AB*")</f>
        <v>3</v>
      </c>
      <c r="I27" s="12">
        <f t="shared" si="2"/>
        <v>6</v>
      </c>
      <c r="J27" s="8" t="s">
        <v>27</v>
      </c>
      <c r="K27" s="11">
        <f>COUNTIFS('[1]MASTER LIST'!$K:$K,"&gt;=4/1/2022",'[1]MASTER LIST'!$K:$K,"&lt;=4/30/2022",'[1]MASTER LIST'!$C:$C,"37512AB*")</f>
        <v>1</v>
      </c>
      <c r="L27" s="12">
        <f t="shared" si="3"/>
        <v>7</v>
      </c>
      <c r="M27" s="8" t="s">
        <v>27</v>
      </c>
      <c r="N27" s="11">
        <f>COUNTIFS('[1]MASTER LIST'!$K:$K,"&gt;=5/1/2022",'[1]MASTER LIST'!$K:$K,"&lt;=5/31/2022",'[1]MASTER LIST'!$C:$C,"37512AB*")</f>
        <v>3</v>
      </c>
      <c r="O27" s="12">
        <f t="shared" si="4"/>
        <v>10</v>
      </c>
      <c r="P27" s="8" t="s">
        <v>27</v>
      </c>
      <c r="Q27" s="11">
        <f>COUNTIFS('[1]MASTER LIST'!$K:$K,"&gt;=6/1/2022",'[1]MASTER LIST'!$K:$K,"&lt;=6/30/2022",'[1]MASTER LIST'!$C:$C,"37512AB*")</f>
        <v>1</v>
      </c>
      <c r="R27" s="12">
        <f t="shared" si="5"/>
        <v>11</v>
      </c>
      <c r="S27" s="8" t="s">
        <v>27</v>
      </c>
      <c r="T27" s="11">
        <f>COUNTIFS('[1]MASTER LIST'!$K:$K,"&gt;=7/1/2022",'[1]MASTER LIST'!$K:$K,"&lt;=7/31/2022",'[1]MASTER LIST'!$C:$C,"37512AB*")</f>
        <v>3</v>
      </c>
      <c r="U27" s="12">
        <f t="shared" si="6"/>
        <v>14</v>
      </c>
      <c r="V27" s="8" t="s">
        <v>27</v>
      </c>
      <c r="W27" s="11">
        <f>COUNTIFS('[1]MASTER LIST'!$K:$K,"&gt;=8/1/2022",'[1]MASTER LIST'!$K:$K,"&lt;=8/31/2022",'[1]MASTER LIST'!$C:$C,"37512AB*")</f>
        <v>1</v>
      </c>
      <c r="X27" s="12">
        <f t="shared" si="7"/>
        <v>15</v>
      </c>
      <c r="Y27" s="8" t="s">
        <v>27</v>
      </c>
      <c r="Z27" s="11">
        <f>COUNTIFS('[1]MASTER LIST'!$K:$K,"&gt;=9/1/2022",'[1]MASTER LIST'!$K:$K,"&lt;=9/30/2022",'[1]MASTER LIST'!$C:$C,"37512AB*")</f>
        <v>0</v>
      </c>
      <c r="AA27" s="12">
        <f t="shared" si="8"/>
        <v>15</v>
      </c>
      <c r="AB27" s="8" t="s">
        <v>27</v>
      </c>
      <c r="AC27" s="11">
        <f>COUNTIFS('[1]MASTER LIST'!$K:$K,"&gt;=10/1/2022",'[1]MASTER LIST'!$K:$K,"&lt;=10/31/2022",'[1]MASTER LIST'!$C:$C,"37512AB*")</f>
        <v>2</v>
      </c>
      <c r="AD27" s="12">
        <f t="shared" si="9"/>
        <v>17</v>
      </c>
      <c r="AE27" s="8" t="s">
        <v>27</v>
      </c>
      <c r="AF27" s="11">
        <f>COUNTIFS('[1]MASTER LIST'!$K:$K,"&gt;=11/1/2022",'[1]MASTER LIST'!$K:$K,"&lt;=11/30/2022",'[1]MASTER LIST'!$C:$C,"37512AB*")</f>
        <v>5</v>
      </c>
      <c r="AG27" s="12">
        <f t="shared" si="10"/>
        <v>22</v>
      </c>
      <c r="AH27" s="8" t="s">
        <v>27</v>
      </c>
      <c r="AI27" s="11">
        <f>COUNTIFS('[1]MASTER LIST'!$K:$K,"&gt;=12/1/2022",'[1]MASTER LIST'!$K:$K,"&lt;=12/31/2022",'[1]MASTER LIST'!$C:$C,"37512AB*")</f>
        <v>2</v>
      </c>
      <c r="AJ27" s="12">
        <f t="shared" si="11"/>
        <v>24</v>
      </c>
    </row>
    <row r="28" spans="1:36">
      <c r="A28" s="8" t="s">
        <v>28</v>
      </c>
      <c r="B28" s="11">
        <f>COUNTIFS('[1]MASTER LIST'!K:K,"&gt;=1/1/2022",'[1]MASTER LIST'!K:K,"&lt;=1/31/2022",'[1]MASTER LIST'!C:C,"306*")</f>
        <v>4</v>
      </c>
      <c r="C28" s="12">
        <f t="shared" si="0"/>
        <v>4</v>
      </c>
      <c r="D28" s="8" t="s">
        <v>28</v>
      </c>
      <c r="E28" s="11">
        <f>COUNTIFS('[1]MASTER LIST'!$K:$K,"&gt;=2/1/2022",'[1]MASTER LIST'!$K:$K,"&lt;=2/28/2022",'[1]MASTER LIST'!$C:$C,"306*")</f>
        <v>3</v>
      </c>
      <c r="F28" s="12">
        <f t="shared" si="1"/>
        <v>7</v>
      </c>
      <c r="G28" s="8" t="s">
        <v>28</v>
      </c>
      <c r="H28" s="11">
        <f>COUNTIFS('[1]MASTER LIST'!$K:$K,"&gt;=3/1/2022",'[1]MASTER LIST'!$K:$K,"&lt;=3/31/2022",'[1]MASTER LIST'!$C:$C,"306*")</f>
        <v>4</v>
      </c>
      <c r="I28" s="12">
        <f t="shared" si="2"/>
        <v>11</v>
      </c>
      <c r="J28" s="8" t="s">
        <v>28</v>
      </c>
      <c r="K28" s="11">
        <f>COUNTIFS('[1]MASTER LIST'!$K:$K,"&gt;=4/1/2022",'[1]MASTER LIST'!$K:$K,"&lt;=4/30/2022",'[1]MASTER LIST'!$C:$C,"306*")</f>
        <v>7</v>
      </c>
      <c r="L28" s="12">
        <f t="shared" si="3"/>
        <v>18</v>
      </c>
      <c r="M28" s="8" t="s">
        <v>28</v>
      </c>
      <c r="N28" s="11">
        <f>COUNTIFS('[1]MASTER LIST'!$K:$K,"&gt;=5/1/2022",'[1]MASTER LIST'!$K:$K,"&lt;=5/31/2022",'[1]MASTER LIST'!$C:$C,"306*")</f>
        <v>7</v>
      </c>
      <c r="O28" s="12">
        <f t="shared" si="4"/>
        <v>25</v>
      </c>
      <c r="P28" s="8" t="s">
        <v>28</v>
      </c>
      <c r="Q28" s="11">
        <f>COUNTIFS('[1]MASTER LIST'!$K:$K,"&gt;=6/1/2022",'[1]MASTER LIST'!$K:$K,"&lt;=6/30/2022",'[1]MASTER LIST'!$C:$C,"306*")</f>
        <v>2</v>
      </c>
      <c r="R28" s="12">
        <f t="shared" si="5"/>
        <v>27</v>
      </c>
      <c r="S28" s="8" t="s">
        <v>28</v>
      </c>
      <c r="T28" s="11">
        <f>COUNTIFS('[1]MASTER LIST'!$K:$K,"&gt;=7/1/2022",'[1]MASTER LIST'!$K:$K,"&lt;=7/31/2022",'[1]MASTER LIST'!$C:$C,"306*")</f>
        <v>2</v>
      </c>
      <c r="U28" s="12">
        <f t="shared" si="6"/>
        <v>29</v>
      </c>
      <c r="V28" s="8" t="s">
        <v>28</v>
      </c>
      <c r="W28" s="11">
        <f>COUNTIFS('[1]MASTER LIST'!$K:$K,"&gt;=8/1/2022",'[1]MASTER LIST'!$K:$K,"&lt;=8/31/2022",'[1]MASTER LIST'!$C:$C,"306*")</f>
        <v>5</v>
      </c>
      <c r="X28" s="12">
        <f t="shared" si="7"/>
        <v>34</v>
      </c>
      <c r="Y28" s="8" t="s">
        <v>28</v>
      </c>
      <c r="Z28" s="11">
        <f>COUNTIFS('[1]MASTER LIST'!$K:$K,"&gt;=9/1/2022",'[1]MASTER LIST'!$K:$K,"&lt;=9/30/2022",'[1]MASTER LIST'!$C:$C,"306*")</f>
        <v>2</v>
      </c>
      <c r="AA28" s="12">
        <f t="shared" si="8"/>
        <v>36</v>
      </c>
      <c r="AB28" s="8" t="s">
        <v>28</v>
      </c>
      <c r="AC28" s="11">
        <f>COUNTIFS('[1]MASTER LIST'!$K:$K,"&gt;=10/1/2022",'[1]MASTER LIST'!$K:$K,"&lt;=10/31/2022",'[1]MASTER LIST'!$C:$C,"306*")</f>
        <v>10</v>
      </c>
      <c r="AD28" s="12">
        <f t="shared" si="9"/>
        <v>46</v>
      </c>
      <c r="AE28" s="8" t="s">
        <v>28</v>
      </c>
      <c r="AF28" s="11">
        <f>COUNTIFS('[1]MASTER LIST'!$K:$K,"&gt;=11/1/2022",'[1]MASTER LIST'!$K:$K,"&lt;=11/30/2022",'[1]MASTER LIST'!$C:$C,"306*")</f>
        <v>3</v>
      </c>
      <c r="AG28" s="12">
        <f t="shared" si="10"/>
        <v>49</v>
      </c>
      <c r="AH28" s="8" t="s">
        <v>28</v>
      </c>
      <c r="AI28" s="11">
        <f>COUNTIFS('[1]MASTER LIST'!$K:$K,"&gt;=12/1/2022",'[1]MASTER LIST'!$K:$K,"&lt;=12/31/2022",'[1]MASTER LIST'!$C:$C,"306*")</f>
        <v>6</v>
      </c>
      <c r="AJ28" s="12">
        <f t="shared" si="11"/>
        <v>55</v>
      </c>
    </row>
    <row r="29" spans="1:36">
      <c r="A29" s="8" t="s">
        <v>29</v>
      </c>
      <c r="B29" s="11">
        <f>COUNTIFS('[1]MASTER LIST'!K:K,"&gt;=1/1/2022",'[1]MASTER LIST'!K:K,"&lt;=1/31/2022",'[1]MASTER LIST'!C:C,"319*")</f>
        <v>10</v>
      </c>
      <c r="C29" s="12">
        <f t="shared" si="0"/>
        <v>10</v>
      </c>
      <c r="D29" s="8" t="s">
        <v>29</v>
      </c>
      <c r="E29" s="11">
        <f>COUNTIFS('[1]MASTER LIST'!$K:$K,"&gt;=2/1/2022",'[1]MASTER LIST'!$K:$K,"&lt;=2/28/2022",'[1]MASTER LIST'!$C:$C,"319*")</f>
        <v>11</v>
      </c>
      <c r="F29" s="12">
        <f t="shared" si="1"/>
        <v>21</v>
      </c>
      <c r="G29" s="8" t="s">
        <v>29</v>
      </c>
      <c r="H29" s="11">
        <f>COUNTIFS('[1]MASTER LIST'!$K:$K,"&gt;=3/1/2022",'[1]MASTER LIST'!$K:$K,"&lt;=3/31/2022",'[1]MASTER LIST'!$C:$C,"319*")</f>
        <v>11</v>
      </c>
      <c r="I29" s="12">
        <f t="shared" si="2"/>
        <v>32</v>
      </c>
      <c r="J29" s="8" t="s">
        <v>29</v>
      </c>
      <c r="K29" s="11">
        <f>COUNTIFS('[1]MASTER LIST'!$K:$K,"&gt;=4/1/2022",'[1]MASTER LIST'!$K:$K,"&lt;=4/30/2022",'[1]MASTER LIST'!$C:$C,"319*")</f>
        <v>16</v>
      </c>
      <c r="L29" s="12">
        <f t="shared" si="3"/>
        <v>48</v>
      </c>
      <c r="M29" s="8" t="s">
        <v>29</v>
      </c>
      <c r="N29" s="11">
        <f>COUNTIFS('[1]MASTER LIST'!$K:$K,"&gt;=5/1/2022",'[1]MASTER LIST'!$K:$K,"&lt;=5/31/2022",'[1]MASTER LIST'!$C:$C,"319*")</f>
        <v>16</v>
      </c>
      <c r="O29" s="12">
        <f t="shared" si="4"/>
        <v>64</v>
      </c>
      <c r="P29" s="8" t="s">
        <v>29</v>
      </c>
      <c r="Q29" s="11">
        <f>COUNTIFS('[1]MASTER LIST'!$K:$K,"&gt;=6/1/2022",'[1]MASTER LIST'!$K:$K,"&lt;=6/30/2022",'[1]MASTER LIST'!$C:$C,"319*")</f>
        <v>7</v>
      </c>
      <c r="R29" s="12">
        <f t="shared" si="5"/>
        <v>71</v>
      </c>
      <c r="S29" s="8" t="s">
        <v>29</v>
      </c>
      <c r="T29" s="11">
        <f>COUNTIFS('[1]MASTER LIST'!$K:$K,"&gt;=7/1/2022",'[1]MASTER LIST'!$K:$K,"&lt;=7/31/2022",'[1]MASTER LIST'!$C:$C,"319*")</f>
        <v>7</v>
      </c>
      <c r="U29" s="12">
        <f t="shared" si="6"/>
        <v>78</v>
      </c>
      <c r="V29" s="8" t="s">
        <v>29</v>
      </c>
      <c r="W29" s="11">
        <f>COUNTIFS('[1]MASTER LIST'!$K:$K,"&gt;=8/1/2022",'[1]MASTER LIST'!$K:$K,"&lt;=8/31/2022",'[1]MASTER LIST'!$C:$C,"319*")</f>
        <v>6</v>
      </c>
      <c r="X29" s="12">
        <f t="shared" si="7"/>
        <v>84</v>
      </c>
      <c r="Y29" s="8" t="s">
        <v>29</v>
      </c>
      <c r="Z29" s="11">
        <f>COUNTIFS('[1]MASTER LIST'!$K:$K,"&gt;=9/1/2022",'[1]MASTER LIST'!$K:$K,"&lt;=9/30/2022",'[1]MASTER LIST'!$C:$C,"319*")</f>
        <v>3</v>
      </c>
      <c r="AA29" s="12">
        <f t="shared" si="8"/>
        <v>87</v>
      </c>
      <c r="AB29" s="8" t="s">
        <v>29</v>
      </c>
      <c r="AC29" s="11">
        <f>COUNTIFS('[1]MASTER LIST'!$K:$K,"&gt;=10/1/2022",'[1]MASTER LIST'!$K:$K,"&lt;=10/31/2022",'[1]MASTER LIST'!$C:$C,"319*")</f>
        <v>15</v>
      </c>
      <c r="AD29" s="12">
        <f t="shared" si="9"/>
        <v>102</v>
      </c>
      <c r="AE29" s="8" t="s">
        <v>29</v>
      </c>
      <c r="AF29" s="11">
        <f>COUNTIFS('[1]MASTER LIST'!$K:$K,"&gt;=11/1/2022",'[1]MASTER LIST'!$K:$K,"&lt;=11/30/2022",'[1]MASTER LIST'!$C:$C,"319*")</f>
        <v>6</v>
      </c>
      <c r="AG29" s="12">
        <f t="shared" si="10"/>
        <v>108</v>
      </c>
      <c r="AH29" s="8" t="s">
        <v>29</v>
      </c>
      <c r="AI29" s="11">
        <f>COUNTIFS('[1]MASTER LIST'!$K:$K,"&gt;=12/1/2022",'[1]MASTER LIST'!$K:$K,"&lt;=12/31/2022",'[1]MASTER LIST'!$C:$C,"319*")</f>
        <v>5</v>
      </c>
      <c r="AJ29" s="12">
        <f t="shared" si="11"/>
        <v>113</v>
      </c>
    </row>
    <row r="30" spans="1:36">
      <c r="A30" s="8" t="s">
        <v>30</v>
      </c>
      <c r="B30" s="11">
        <f>COUNTIFS('[1]MASTER LIST'!K:K,"&gt;=1/1/2022",'[1]MASTER LIST'!K:K,"&lt;=1/31/2022",'[1]MASTER LIST'!C:C,"5091",'[1]MASTER LIST'!C:C, "5092",'[1]MASTER LIST'!C:C, "5093",'[1]MASTER LIST'!C:C, "5094",'[1]MASTER LIST'!C:C, "511*")</f>
        <v>0</v>
      </c>
      <c r="C30" s="12">
        <f t="shared" si="0"/>
        <v>0</v>
      </c>
      <c r="D30" s="8" t="s">
        <v>30</v>
      </c>
      <c r="E30" s="11">
        <f>COUNTIFS('[1]MASTER LIST'!$K:$K,"&gt;=2/1/2022",'[1]MASTER LIST'!$K:$K,"&lt;=2/28/2022",'[1]MASTER LIST'!$C:$C,"5091",'[1]MASTER LIST'!$C:$C, "5092",'[1]MASTER LIST'!$C:$C, "5093",'[1]MASTER LIST'!$C:$C, "5094",'[1]MASTER LIST'!$C:$C, "511*")</f>
        <v>0</v>
      </c>
      <c r="F30" s="12">
        <f t="shared" si="1"/>
        <v>0</v>
      </c>
      <c r="G30" s="8" t="s">
        <v>30</v>
      </c>
      <c r="H30" s="11">
        <f>COUNTIFS('[1]MASTER LIST'!$K:$K,"&gt;=3/1/2022",'[1]MASTER LIST'!$K:$K,"&lt;=3/31/2022",'[1]MASTER LIST'!$C:$C,"5091",'[1]MASTER LIST'!$C:$C, "5092",'[1]MASTER LIST'!$C:$C, "5093",'[1]MASTER LIST'!$C:$C, "5094",'[1]MASTER LIST'!$C:$C, "511*")</f>
        <v>0</v>
      </c>
      <c r="I30" s="12">
        <f t="shared" si="2"/>
        <v>0</v>
      </c>
      <c r="J30" s="8" t="s">
        <v>30</v>
      </c>
      <c r="K30" s="11">
        <f>COUNTIFS('[1]MASTER LIST'!$K:$K,"&gt;=4/1/2022",'[1]MASTER LIST'!$K:$K,"&lt;=4/30/2022",'[1]MASTER LIST'!$C:$C,"5091",'[1]MASTER LIST'!$C:$C, "5092",'[1]MASTER LIST'!$C:$C, "5093",'[1]MASTER LIST'!$C:$C, "5094",'[1]MASTER LIST'!$C:$C, "511*")</f>
        <v>0</v>
      </c>
      <c r="L30" s="12">
        <f t="shared" si="3"/>
        <v>0</v>
      </c>
      <c r="M30" s="8" t="s">
        <v>30</v>
      </c>
      <c r="N30" s="11">
        <f>COUNTIFS('[1]MASTER LIST'!$K:$K,"&gt;=5/1/2022",'[1]MASTER LIST'!$K:$K,"&lt;=5/31/2022",'[1]MASTER LIST'!$C:$C,"5091",'[1]MASTER LIST'!$C:$C, "5092",'[1]MASTER LIST'!$C:$C, "5093",'[1]MASTER LIST'!$C:$C, "5094",'[1]MASTER LIST'!$C:$C, "511*")</f>
        <v>0</v>
      </c>
      <c r="O30" s="12">
        <f t="shared" si="4"/>
        <v>0</v>
      </c>
      <c r="P30" s="8" t="s">
        <v>30</v>
      </c>
      <c r="Q30" s="11">
        <f>COUNTIFS('[1]MASTER LIST'!$K:$K,"&gt;=6/1/2022",'[1]MASTER LIST'!$K:$K,"&lt;=6/30/2022",'[1]MASTER LIST'!$C:$C,"5091",'[1]MASTER LIST'!$C:$C, "5092",'[1]MASTER LIST'!$C:$C, "5093",'[1]MASTER LIST'!$C:$C, "5094",'[1]MASTER LIST'!$C:$C, "511*")</f>
        <v>0</v>
      </c>
      <c r="R30" s="12">
        <f t="shared" si="5"/>
        <v>0</v>
      </c>
      <c r="S30" s="8" t="s">
        <v>30</v>
      </c>
      <c r="T30" s="11">
        <f>COUNTIFS('[1]MASTER LIST'!$K:$K,"&gt;=7/1/2022",'[1]MASTER LIST'!$K:$K,"&lt;=7/31/2022",'[1]MASTER LIST'!$C:$C,"5091",'[1]MASTER LIST'!$C:$C, "5092",'[1]MASTER LIST'!$C:$C, "5093",'[1]MASTER LIST'!$C:$C, "5094",'[1]MASTER LIST'!$C:$C, "511*")</f>
        <v>0</v>
      </c>
      <c r="U30" s="12">
        <f t="shared" si="6"/>
        <v>0</v>
      </c>
      <c r="V30" s="8" t="s">
        <v>30</v>
      </c>
      <c r="W30" s="11">
        <f>COUNTIFS('[1]MASTER LIST'!$K:$K,"&gt;=8/1/2022",'[1]MASTER LIST'!$K:$K,"&lt;=8/31/2022",'[1]MASTER LIST'!$C:$C,"5091",'[1]MASTER LIST'!$C:$C, "5092",'[1]MASTER LIST'!$C:$C, "5093",'[1]MASTER LIST'!$C:$C, "5094",'[1]MASTER LIST'!$C:$C, "511*")</f>
        <v>0</v>
      </c>
      <c r="X30" s="12">
        <f t="shared" si="7"/>
        <v>0</v>
      </c>
      <c r="Y30" s="8" t="s">
        <v>30</v>
      </c>
      <c r="Z30" s="11">
        <f>COUNTIFS('[1]MASTER LIST'!$K:$K,"&gt;=9/1/2022",'[1]MASTER LIST'!$K:$K,"&lt;=9/30/2022",'[1]MASTER LIST'!$C:$C,"5091",'[1]MASTER LIST'!$C:$C, "5092",'[1]MASTER LIST'!$C:$C, "5093",'[1]MASTER LIST'!$C:$C, "5094",'[1]MASTER LIST'!$C:$C, "511*")</f>
        <v>0</v>
      </c>
      <c r="AA30" s="12">
        <f t="shared" si="8"/>
        <v>0</v>
      </c>
      <c r="AB30" s="8" t="s">
        <v>30</v>
      </c>
      <c r="AC30" s="11">
        <f>COUNTIFS('[1]MASTER LIST'!$K:$K,"&gt;=10/1/2022",'[1]MASTER LIST'!$K:$K,"&lt;=10/31/2022",'[1]MASTER LIST'!$C:$C,"5091",'[1]MASTER LIST'!$C:$C, "5092",'[1]MASTER LIST'!$C:$C, "5093",'[1]MASTER LIST'!$C:$C, "5094",'[1]MASTER LIST'!$C:$C, "511*")</f>
        <v>0</v>
      </c>
      <c r="AD30" s="12">
        <f t="shared" si="9"/>
        <v>0</v>
      </c>
      <c r="AE30" s="8" t="s">
        <v>30</v>
      </c>
      <c r="AF30" s="11">
        <f>COUNTIFS('[1]MASTER LIST'!$K:$K,"&gt;=11/1/2022",'[1]MASTER LIST'!$K:$K,"&lt;=11/30/2022",'[1]MASTER LIST'!$C:$C,"5091",'[1]MASTER LIST'!$C:$C, "5092",'[1]MASTER LIST'!$C:$C, "5093",'[1]MASTER LIST'!$C:$C, "5094",'[1]MASTER LIST'!$C:$C, "511*")</f>
        <v>0</v>
      </c>
      <c r="AG30" s="12">
        <f t="shared" si="10"/>
        <v>0</v>
      </c>
      <c r="AH30" s="8" t="s">
        <v>30</v>
      </c>
      <c r="AI30" s="11">
        <f>COUNTIFS('[1]MASTER LIST'!$K:$K,"&gt;=12/1/2022",'[1]MASTER LIST'!$K:$K,"&lt;=12/31/2022",'[1]MASTER LIST'!$C:$C,"5091",'[1]MASTER LIST'!$C:$C, "5092",'[1]MASTER LIST'!$C:$C, "5093",'[1]MASTER LIST'!$C:$C, "5094",'[1]MASTER LIST'!$C:$C, "511*")</f>
        <v>0</v>
      </c>
      <c r="AJ30" s="12">
        <f t="shared" si="11"/>
        <v>0</v>
      </c>
    </row>
    <row r="31" spans="1:36">
      <c r="A31" s="8" t="s">
        <v>31</v>
      </c>
      <c r="B31" s="11">
        <f>COUNTIFS('[1]MASTER LIST'!K:K,"&gt;=1/1/2022",'[1]MASTER LIST'!K:K,"&lt;=1/31/2022",'[1]MASTER LIST'!C:C,"4011*",'[1]MASTER LIST'!C:C,"4101",'[1]MASTER LIST'!C:C,"22611")</f>
        <v>0</v>
      </c>
      <c r="C31" s="12">
        <f t="shared" si="0"/>
        <v>0</v>
      </c>
      <c r="D31" s="8" t="s">
        <v>31</v>
      </c>
      <c r="E31" s="11">
        <f>COUNTIFS('[1]MASTER LIST'!$K:$K,"&gt;=2/1/2022",'[1]MASTER LIST'!$K:$K,"&lt;=2/28/2022",'[1]MASTER LIST'!$C:$C,"4011*",'[1]MASTER LIST'!$C:$C,"4101",'[1]MASTER LIST'!$C:$C,"22611")</f>
        <v>0</v>
      </c>
      <c r="F31" s="12">
        <f t="shared" si="1"/>
        <v>0</v>
      </c>
      <c r="G31" s="8" t="s">
        <v>31</v>
      </c>
      <c r="H31" s="11">
        <f>COUNTIFS('[1]MASTER LIST'!$K:$K,"&gt;=3/1/2022",'[1]MASTER LIST'!$K:$K,"&lt;=3/31/2022",'[1]MASTER LIST'!$C:$C,"4011*",'[1]MASTER LIST'!$C:$C,"4101",'[1]MASTER LIST'!$C:$C,"22611")</f>
        <v>0</v>
      </c>
      <c r="I31" s="12">
        <f t="shared" si="2"/>
        <v>0</v>
      </c>
      <c r="J31" s="8" t="s">
        <v>31</v>
      </c>
      <c r="K31" s="11">
        <f>COUNTIFS('[1]MASTER LIST'!$K:$K,"&gt;=4/1/2022",'[1]MASTER LIST'!$K:$K,"&lt;=4/30/2022",'[1]MASTER LIST'!$C:$C,"4011*",'[1]MASTER LIST'!$C:$C,"4101",'[1]MASTER LIST'!$C:$C,"22611")</f>
        <v>0</v>
      </c>
      <c r="L31" s="12">
        <f t="shared" si="3"/>
        <v>0</v>
      </c>
      <c r="M31" s="8" t="s">
        <v>31</v>
      </c>
      <c r="N31" s="11">
        <f>COUNTIFS('[1]MASTER LIST'!$K:$K,"&gt;=5/1/2022",'[1]MASTER LIST'!$K:$K,"&lt;=5/31/2022",'[1]MASTER LIST'!$C:$C,"4011*",'[1]MASTER LIST'!$C:$C,"4101",'[1]MASTER LIST'!$C:$C,"22611")</f>
        <v>0</v>
      </c>
      <c r="O31" s="12">
        <f t="shared" si="4"/>
        <v>0</v>
      </c>
      <c r="P31" s="8" t="s">
        <v>31</v>
      </c>
      <c r="Q31" s="11">
        <f>COUNTIFS('[1]MASTER LIST'!$K:$K,"&gt;=6/1/2022",'[1]MASTER LIST'!$K:$K,"&lt;=6/30/2022",'[1]MASTER LIST'!$C:$C,"4011*",'[1]MASTER LIST'!$C:$C,"4101",'[1]MASTER LIST'!$C:$C,"22611")</f>
        <v>0</v>
      </c>
      <c r="R31" s="12">
        <f t="shared" si="5"/>
        <v>0</v>
      </c>
      <c r="S31" s="8" t="s">
        <v>31</v>
      </c>
      <c r="T31" s="11">
        <f>COUNTIFS('[1]MASTER LIST'!$K:$K,"&gt;=7/1/2022",'[1]MASTER LIST'!$K:$K,"&lt;=7/31/2022",'[1]MASTER LIST'!$C:$C,"4011*",'[1]MASTER LIST'!$C:$C,"4101",'[1]MASTER LIST'!$C:$C,"22611")</f>
        <v>0</v>
      </c>
      <c r="U31" s="12">
        <f t="shared" si="6"/>
        <v>0</v>
      </c>
      <c r="V31" s="8" t="s">
        <v>31</v>
      </c>
      <c r="W31" s="11">
        <f>COUNTIFS('[1]MASTER LIST'!$K:$K,"&gt;=8/1/2022",'[1]MASTER LIST'!$K:$K,"&lt;=8/31/2022",'[1]MASTER LIST'!$C:$C,"4011*",'[1]MASTER LIST'!$C:$C,"4101",'[1]MASTER LIST'!$C:$C,"22611")</f>
        <v>0</v>
      </c>
      <c r="X31" s="12">
        <f t="shared" si="7"/>
        <v>0</v>
      </c>
      <c r="Y31" s="8" t="s">
        <v>31</v>
      </c>
      <c r="Z31" s="11">
        <f>COUNTIFS('[1]MASTER LIST'!$K:$K,"&gt;=9/1/2022",'[1]MASTER LIST'!$K:$K,"&lt;=9/30/2022",'[1]MASTER LIST'!$C:$C,"4011*",'[1]MASTER LIST'!$C:$C,"4101",'[1]MASTER LIST'!$C:$C,"22611")</f>
        <v>0</v>
      </c>
      <c r="AA31" s="12">
        <f t="shared" si="8"/>
        <v>0</v>
      </c>
      <c r="AB31" s="8" t="s">
        <v>31</v>
      </c>
      <c r="AC31" s="11">
        <f>COUNTIFS('[1]MASTER LIST'!$K:$K,"&gt;=10/1/2022",'[1]MASTER LIST'!$K:$K,"&lt;=10/31/2022",'[1]MASTER LIST'!$C:$C,"4011*",'[1]MASTER LIST'!$C:$C,"4101",'[1]MASTER LIST'!$C:$C,"22611")</f>
        <v>0</v>
      </c>
      <c r="AD31" s="12">
        <f t="shared" si="9"/>
        <v>0</v>
      </c>
      <c r="AE31" s="8" t="s">
        <v>31</v>
      </c>
      <c r="AF31" s="11">
        <f>COUNTIFS('[1]MASTER LIST'!$K:$K,"&gt;=11/1/2022",'[1]MASTER LIST'!$K:$K,"&lt;=11/30/2022",'[1]MASTER LIST'!$C:$C,"4011*",'[1]MASTER LIST'!$C:$C,"4101",'[1]MASTER LIST'!$C:$C,"22611")</f>
        <v>0</v>
      </c>
      <c r="AG31" s="12">
        <f t="shared" si="10"/>
        <v>0</v>
      </c>
      <c r="AH31" s="8" t="s">
        <v>31</v>
      </c>
      <c r="AI31" s="11">
        <f>COUNTIFS('[1]MASTER LIST'!$K:$K,"&gt;=12/1/2022",'[1]MASTER LIST'!$K:$K,"&lt;=12/31/2022",'[1]MASTER LIST'!$C:$C,"4011*",'[1]MASTER LIST'!$C:$C,"4101",'[1]MASTER LIST'!$C:$C,"22611")</f>
        <v>0</v>
      </c>
      <c r="AJ31" s="12">
        <f t="shared" si="11"/>
        <v>0</v>
      </c>
    </row>
    <row r="32" spans="1:36">
      <c r="A32" s="8" t="s">
        <v>32</v>
      </c>
      <c r="B32" s="11">
        <f>COUNTIFS('[1]MASTER LIST'!K:K,"&gt;=1/1/2022",'[1]MASTER LIST'!K:K,"&lt;=1/31/2022",'[1]MASTER LIST'!C:C,"1128A*")</f>
        <v>1</v>
      </c>
      <c r="C32" s="12">
        <f t="shared" si="0"/>
        <v>1</v>
      </c>
      <c r="D32" s="8" t="s">
        <v>32</v>
      </c>
      <c r="E32" s="11">
        <f>COUNTIFS('[1]MASTER LIST'!$K:$K,"&gt;=2/1/2022",'[1]MASTER LIST'!$K:$K,"&lt;=2/28/2022",'[1]MASTER LIST'!$C:$C,"1128A*")</f>
        <v>1</v>
      </c>
      <c r="F32" s="12">
        <f t="shared" si="1"/>
        <v>2</v>
      </c>
      <c r="G32" s="8" t="s">
        <v>32</v>
      </c>
      <c r="H32" s="11">
        <f>COUNTIFS('[1]MASTER LIST'!$K:$K,"&gt;=3/1/2022",'[1]MASTER LIST'!$K:$K,"&lt;=3/31/2022",'[1]MASTER LIST'!$C:$C,"1128A*")</f>
        <v>0</v>
      </c>
      <c r="I32" s="12">
        <f t="shared" si="2"/>
        <v>2</v>
      </c>
      <c r="J32" s="8" t="s">
        <v>32</v>
      </c>
      <c r="K32" s="11">
        <f>COUNTIFS('[1]MASTER LIST'!$K:$K,"&gt;=4/1/2022",'[1]MASTER LIST'!$K:$K,"&lt;=4/30/2022",'[1]MASTER LIST'!$C:$C,"1128A*")</f>
        <v>1</v>
      </c>
      <c r="L32" s="12">
        <f t="shared" si="3"/>
        <v>3</v>
      </c>
      <c r="M32" s="8" t="s">
        <v>32</v>
      </c>
      <c r="N32" s="11">
        <f>COUNTIFS('[1]MASTER LIST'!$K:$K,"&gt;=5/1/2022",'[1]MASTER LIST'!$K:$K,"&lt;=5/31/2022",'[1]MASTER LIST'!$C:$C,"1128A*")</f>
        <v>1</v>
      </c>
      <c r="O32" s="12">
        <f t="shared" si="4"/>
        <v>4</v>
      </c>
      <c r="P32" s="8" t="s">
        <v>32</v>
      </c>
      <c r="Q32" s="11">
        <f>COUNTIFS('[1]MASTER LIST'!$K:$K,"&gt;=6/1/2022",'[1]MASTER LIST'!$K:$K,"&lt;=6/30/2022",'[1]MASTER LIST'!$C:$C,"1128A*")</f>
        <v>1</v>
      </c>
      <c r="R32" s="12">
        <f t="shared" si="5"/>
        <v>5</v>
      </c>
      <c r="S32" s="8" t="s">
        <v>32</v>
      </c>
      <c r="T32" s="11">
        <f>COUNTIFS('[1]MASTER LIST'!$K:$K,"&gt;=7/1/2022",'[1]MASTER LIST'!$K:$K,"&lt;=7/31/2022",'[1]MASTER LIST'!$C:$C,"1128A*")</f>
        <v>0</v>
      </c>
      <c r="U32" s="12">
        <f t="shared" si="6"/>
        <v>5</v>
      </c>
      <c r="V32" s="8" t="s">
        <v>32</v>
      </c>
      <c r="W32" s="11">
        <f>COUNTIFS('[1]MASTER LIST'!$K:$K,"&gt;=8/1/2022",'[1]MASTER LIST'!$K:$K,"&lt;=8/31/2022",'[1]MASTER LIST'!$C:$C,"1128A*")</f>
        <v>0</v>
      </c>
      <c r="X32" s="12">
        <f t="shared" si="7"/>
        <v>5</v>
      </c>
      <c r="Y32" s="8" t="s">
        <v>32</v>
      </c>
      <c r="Z32" s="11">
        <f>COUNTIFS('[1]MASTER LIST'!$K:$K,"&gt;=9/1/2022",'[1]MASTER LIST'!$K:$K,"&lt;=9/30/2022",'[1]MASTER LIST'!$C:$C,"1128A*")</f>
        <v>0</v>
      </c>
      <c r="AA32" s="12">
        <f t="shared" si="8"/>
        <v>5</v>
      </c>
      <c r="AB32" s="8" t="s">
        <v>32</v>
      </c>
      <c r="AC32" s="11">
        <f>COUNTIFS('[1]MASTER LIST'!$K:$K,"&gt;=10/1/2022",'[1]MASTER LIST'!$K:$K,"&lt;=10/31/2022",'[1]MASTER LIST'!$C:$C,"1128A*")</f>
        <v>0</v>
      </c>
      <c r="AD32" s="12">
        <f t="shared" si="9"/>
        <v>5</v>
      </c>
      <c r="AE32" s="8" t="s">
        <v>32</v>
      </c>
      <c r="AF32" s="11">
        <f>COUNTIFS('[1]MASTER LIST'!$K:$K,"&gt;=11/1/2022",'[1]MASTER LIST'!$K:$K,"&lt;=11/30/2022",'[1]MASTER LIST'!$C:$C,"1128A*")</f>
        <v>0</v>
      </c>
      <c r="AG32" s="12">
        <f t="shared" si="10"/>
        <v>5</v>
      </c>
      <c r="AH32" s="8" t="s">
        <v>32</v>
      </c>
      <c r="AI32" s="11">
        <f>COUNTIFS('[1]MASTER LIST'!$K:$K,"&gt;=12/1/2022",'[1]MASTER LIST'!$K:$K,"&lt;=12/31/2022",'[1]MASTER LIST'!$C:$C,"1128A*")</f>
        <v>1</v>
      </c>
      <c r="AJ32" s="12">
        <f t="shared" si="11"/>
        <v>6</v>
      </c>
    </row>
    <row r="33" spans="1:36">
      <c r="A33" s="8" t="s">
        <v>33</v>
      </c>
      <c r="B33" s="11">
        <f>COUNTIFS('[1]MASTER LIST'!K:K,"&gt;=1/1/2022",'[1]MASTER LIST'!K:K,"&lt;=1/31/2022",'[1]MASTER LIST'!C:C,"1160E")</f>
        <v>3</v>
      </c>
      <c r="C33" s="12">
        <f t="shared" si="0"/>
        <v>3</v>
      </c>
      <c r="D33" s="8" t="s">
        <v>33</v>
      </c>
      <c r="E33" s="11">
        <f>COUNTIFS('[1]MASTER LIST'!$K:$K,"&gt;=2/1/2022",'[1]MASTER LIST'!$K:$K,"&lt;=2/28/2022",'[1]MASTER LIST'!$C:$C,"1160E")</f>
        <v>2</v>
      </c>
      <c r="F33" s="12">
        <f t="shared" si="1"/>
        <v>5</v>
      </c>
      <c r="G33" s="8" t="s">
        <v>33</v>
      </c>
      <c r="H33" s="11">
        <f>COUNTIFS('[1]MASTER LIST'!$K:$K,"&gt;=3/1/2022",'[1]MASTER LIST'!$K:$K,"&lt;=3/31/2022",'[1]MASTER LIST'!$C:$C,"1160E")</f>
        <v>1</v>
      </c>
      <c r="I33" s="12">
        <f t="shared" si="2"/>
        <v>6</v>
      </c>
      <c r="J33" s="8" t="s">
        <v>33</v>
      </c>
      <c r="K33" s="11">
        <f>COUNTIFS('[1]MASTER LIST'!$K:$K,"&gt;=4/1/2022",'[1]MASTER LIST'!$K:$K,"&lt;=4/30/2022",'[1]MASTER LIST'!$C:$C,"1160E")</f>
        <v>3</v>
      </c>
      <c r="L33" s="12">
        <f t="shared" si="3"/>
        <v>9</v>
      </c>
      <c r="M33" s="8" t="s">
        <v>33</v>
      </c>
      <c r="N33" s="11">
        <f>COUNTIFS('[1]MASTER LIST'!$K:$K,"&gt;=5/1/2022",'[1]MASTER LIST'!$K:$K,"&lt;=5/31/2022",'[1]MASTER LIST'!$C:$C,"1160E")</f>
        <v>1</v>
      </c>
      <c r="O33" s="12">
        <f t="shared" si="4"/>
        <v>10</v>
      </c>
      <c r="P33" s="8" t="s">
        <v>33</v>
      </c>
      <c r="Q33" s="11">
        <f>COUNTIFS('[1]MASTER LIST'!$K:$K,"&gt;=6/1/2022",'[1]MASTER LIST'!$K:$K,"&lt;=6/30/2022",'[1]MASTER LIST'!$C:$C,"1160E")</f>
        <v>1</v>
      </c>
      <c r="R33" s="12">
        <f t="shared" si="5"/>
        <v>11</v>
      </c>
      <c r="S33" s="8" t="s">
        <v>33</v>
      </c>
      <c r="T33" s="11">
        <f>COUNTIFS('[1]MASTER LIST'!$K:$K,"&gt;=7/1/2022",'[1]MASTER LIST'!$K:$K,"&lt;=7/31/2022",'[1]MASTER LIST'!$C:$C,"1160E")</f>
        <v>1</v>
      </c>
      <c r="U33" s="12">
        <f t="shared" si="6"/>
        <v>12</v>
      </c>
      <c r="V33" s="8" t="s">
        <v>33</v>
      </c>
      <c r="W33" s="11">
        <f>COUNTIFS('[1]MASTER LIST'!$K:$K,"&gt;=8/1/2022",'[1]MASTER LIST'!$K:$K,"&lt;=8/31/2022",'[1]MASTER LIST'!$C:$C,"1160E")</f>
        <v>0</v>
      </c>
      <c r="X33" s="12">
        <f t="shared" si="7"/>
        <v>12</v>
      </c>
      <c r="Y33" s="8" t="s">
        <v>33</v>
      </c>
      <c r="Z33" s="11">
        <f>COUNTIFS('[1]MASTER LIST'!$K:$K,"&gt;=9/1/2022",'[1]MASTER LIST'!$K:$K,"&lt;=9/30/2022",'[1]MASTER LIST'!$C:$C,"1160E")</f>
        <v>1</v>
      </c>
      <c r="AA33" s="12">
        <f t="shared" si="8"/>
        <v>13</v>
      </c>
      <c r="AB33" s="8" t="s">
        <v>33</v>
      </c>
      <c r="AC33" s="11">
        <f>COUNTIFS('[1]MASTER LIST'!$K:$K,"&gt;=10/1/2022",'[1]MASTER LIST'!$K:$K,"&lt;=10/31/2022",'[1]MASTER LIST'!$C:$C,"1160E")</f>
        <v>0</v>
      </c>
      <c r="AD33" s="12">
        <f t="shared" si="9"/>
        <v>13</v>
      </c>
      <c r="AE33" s="8" t="s">
        <v>33</v>
      </c>
      <c r="AF33" s="11">
        <f>COUNTIFS('[1]MASTER LIST'!$K:$K,"&gt;=11/1/2022",'[1]MASTER LIST'!$K:$K,"&lt;=11/30/2022",'[1]MASTER LIST'!$C:$C,"1160E")</f>
        <v>1</v>
      </c>
      <c r="AG33" s="12">
        <f t="shared" si="10"/>
        <v>14</v>
      </c>
      <c r="AH33" s="8" t="s">
        <v>33</v>
      </c>
      <c r="AI33" s="11">
        <f>COUNTIFS('[1]MASTER LIST'!$K:$K,"&gt;=12/1/2022",'[1]MASTER LIST'!$K:$K,"&lt;=12/31/2022",'[1]MASTER LIST'!$C:$C,"1160E")</f>
        <v>2</v>
      </c>
      <c r="AJ33" s="12">
        <f t="shared" si="11"/>
        <v>16</v>
      </c>
    </row>
    <row r="34" spans="1:36" ht="15.75" thickBot="1">
      <c r="A34" s="8" t="s">
        <v>34</v>
      </c>
      <c r="B34" s="11">
        <f>COUNTIFS('[1]MASTER LIST'!K:K,"&gt;=1/1/2022",'[1]MASTER LIST'!K:K,"&lt;=1/31/2022")-SUM(B4:B33)</f>
        <v>48</v>
      </c>
      <c r="C34" s="13">
        <f t="shared" si="0"/>
        <v>48</v>
      </c>
      <c r="D34" s="8" t="s">
        <v>34</v>
      </c>
      <c r="E34" s="11">
        <f>COUNTIFS('[1]MASTER LIST'!$K:$K,"&gt;=2/1/2022",'[1]MASTER LIST'!$K:$K,"&lt;=2/28/2022")-SUM(E4:E33)</f>
        <v>55</v>
      </c>
      <c r="F34" s="13">
        <f t="shared" si="1"/>
        <v>103</v>
      </c>
      <c r="G34" s="8" t="s">
        <v>34</v>
      </c>
      <c r="H34" s="11">
        <f>COUNTIFS('[1]MASTER LIST'!$K:$K,"&gt;=3/1/2022",'[1]MASTER LIST'!$K:$K,"&lt;=3/31/2022")-SUM(H4:H33)</f>
        <v>44</v>
      </c>
      <c r="I34" s="13">
        <f t="shared" si="2"/>
        <v>147</v>
      </c>
      <c r="J34" s="8" t="s">
        <v>34</v>
      </c>
      <c r="K34" s="11">
        <f>COUNTIFS('[1]MASTER LIST'!$K:$K,"&gt;=4/1/2022",'[1]MASTER LIST'!$K:$K,"&lt;=4/30/2022")-SUM(K4:K33)</f>
        <v>43</v>
      </c>
      <c r="L34" s="13">
        <f t="shared" si="3"/>
        <v>190</v>
      </c>
      <c r="M34" s="8" t="s">
        <v>34</v>
      </c>
      <c r="N34" s="11">
        <f>COUNTIFS('[1]MASTER LIST'!$K:$K,"&gt;=5/1/2022",'[1]MASTER LIST'!$K:$K,"&lt;=5/31/2022")-SUM(N4:N33)</f>
        <v>70</v>
      </c>
      <c r="O34" s="13">
        <f t="shared" si="4"/>
        <v>260</v>
      </c>
      <c r="P34" s="8" t="s">
        <v>34</v>
      </c>
      <c r="Q34" s="11">
        <f>COUNTIFS('[1]MASTER LIST'!$K:$K,"&gt;=6/1/2022",'[1]MASTER LIST'!$K:$K,"&lt;=6/30/2022")-SUM(Q4:Q33)</f>
        <v>64</v>
      </c>
      <c r="R34" s="13">
        <f t="shared" si="5"/>
        <v>324</v>
      </c>
      <c r="S34" s="8" t="s">
        <v>34</v>
      </c>
      <c r="T34" s="11">
        <f>COUNTIFS('[1]MASTER LIST'!$K:$K,"&gt;=7/1/2022",'[1]MASTER LIST'!$K:$K,"&lt;=7/31/2022")-SUM(T4:T33)</f>
        <v>22</v>
      </c>
      <c r="U34" s="13">
        <f t="shared" si="6"/>
        <v>346</v>
      </c>
      <c r="V34" s="8" t="s">
        <v>34</v>
      </c>
      <c r="W34" s="11">
        <f>COUNTIFS('[1]MASTER LIST'!$K:$K,"&gt;=8/1/2022",'[1]MASTER LIST'!$K:$K,"&lt;=8/31/2022")-SUM(W4:W33)</f>
        <v>135</v>
      </c>
      <c r="X34" s="13">
        <f t="shared" si="7"/>
        <v>481</v>
      </c>
      <c r="Y34" s="8" t="s">
        <v>34</v>
      </c>
      <c r="Z34" s="11">
        <f>COUNTIFS('[1]MASTER LIST'!$K:$K,"&gt;=9/1/2022",'[1]MASTER LIST'!$K:$K,"&lt;=9/30/2022")-SUM(Z4:Z33)</f>
        <v>55</v>
      </c>
      <c r="AA34" s="13">
        <f t="shared" si="8"/>
        <v>536</v>
      </c>
      <c r="AB34" s="8" t="s">
        <v>34</v>
      </c>
      <c r="AC34" s="11">
        <f>COUNTIFS('[1]MASTER LIST'!$K:$K,"&gt;=10/1/2022",'[1]MASTER LIST'!$K:$K,"&lt;=10/31/2022")-SUM(AC4:AC33)</f>
        <v>121</v>
      </c>
      <c r="AD34" s="13">
        <f t="shared" si="9"/>
        <v>657</v>
      </c>
      <c r="AE34" s="8" t="s">
        <v>34</v>
      </c>
      <c r="AF34" s="11">
        <f>COUNTIFS('[1]MASTER LIST'!$K:$K,"&gt;=11/1/2022",'[1]MASTER LIST'!$K:$K,"&lt;=11/30/2022")-SUM(AF4:AF33)</f>
        <v>45</v>
      </c>
      <c r="AG34" s="13">
        <f t="shared" si="10"/>
        <v>702</v>
      </c>
      <c r="AH34" s="8" t="s">
        <v>34</v>
      </c>
      <c r="AI34" s="11">
        <f>COUNTIFS('[1]MASTER LIST'!$K:$K,"&gt;=12/1/2022",'[1]MASTER LIST'!$K:$K,"&lt;=12/31/2022")-SUM(AI4:AI33)</f>
        <v>46</v>
      </c>
      <c r="AJ34" s="13">
        <f t="shared" si="11"/>
        <v>748</v>
      </c>
    </row>
    <row r="35" spans="1:36" ht="15.75" thickBot="1">
      <c r="A35" s="14" t="s">
        <v>35</v>
      </c>
      <c r="B35" s="15">
        <f>SUM(B4:B34)</f>
        <v>146</v>
      </c>
      <c r="C35" s="16">
        <f>SUM(B4:B34)</f>
        <v>146</v>
      </c>
      <c r="D35" s="14" t="s">
        <v>35</v>
      </c>
      <c r="E35" s="15">
        <f>SUM(E4:E34)</f>
        <v>145</v>
      </c>
      <c r="F35" s="16">
        <f>SUM(F4:F34)</f>
        <v>291</v>
      </c>
      <c r="G35" s="14" t="s">
        <v>35</v>
      </c>
      <c r="H35" s="15">
        <f>SUM(H4:H34)</f>
        <v>142</v>
      </c>
      <c r="I35" s="16">
        <f>SUM(I4:I34)</f>
        <v>433</v>
      </c>
      <c r="J35" s="14" t="s">
        <v>35</v>
      </c>
      <c r="K35" s="15">
        <f>SUM(K4:K34)</f>
        <v>165</v>
      </c>
      <c r="L35" s="16">
        <f>SUM(L4:L34)</f>
        <v>598</v>
      </c>
      <c r="M35" s="14" t="s">
        <v>35</v>
      </c>
      <c r="N35" s="15">
        <f>SUM(N4:N34)</f>
        <v>198</v>
      </c>
      <c r="O35" s="16">
        <f>SUM(O4:O34)</f>
        <v>796</v>
      </c>
      <c r="P35" s="14" t="s">
        <v>35</v>
      </c>
      <c r="Q35" s="15">
        <f>SUM(Q4:Q34)</f>
        <v>161</v>
      </c>
      <c r="R35" s="16">
        <f>SUM(R4:R34)</f>
        <v>957</v>
      </c>
      <c r="S35" s="14" t="s">
        <v>35</v>
      </c>
      <c r="T35" s="15">
        <f>SUM(T4:T34)</f>
        <v>119</v>
      </c>
      <c r="U35" s="16">
        <f>SUM(U4:U34)</f>
        <v>1076</v>
      </c>
      <c r="V35" s="14" t="s">
        <v>35</v>
      </c>
      <c r="W35" s="15">
        <f>SUM(W4:W34)</f>
        <v>230</v>
      </c>
      <c r="X35" s="16">
        <f>SUM(X4:X34)</f>
        <v>1306</v>
      </c>
      <c r="Y35" s="14" t="s">
        <v>35</v>
      </c>
      <c r="Z35" s="15">
        <f>SUM(Z4:Z34)</f>
        <v>122</v>
      </c>
      <c r="AA35" s="16">
        <f>SUM(AA4:AA34)</f>
        <v>1428</v>
      </c>
      <c r="AB35" s="14" t="s">
        <v>35</v>
      </c>
      <c r="AC35" s="15">
        <f>SUM(AC4:AC34)</f>
        <v>228</v>
      </c>
      <c r="AD35" s="16">
        <f>SUM(AD4:AD34)</f>
        <v>1656</v>
      </c>
      <c r="AE35" s="14" t="s">
        <v>35</v>
      </c>
      <c r="AF35" s="15">
        <f>SUM(AF4:AF34)</f>
        <v>128</v>
      </c>
      <c r="AG35" s="16">
        <f>SUM(AG4:AG34)</f>
        <v>1784</v>
      </c>
      <c r="AH35" s="14" t="s">
        <v>35</v>
      </c>
      <c r="AI35" s="15">
        <f>SUM(AI4:AI34)</f>
        <v>110</v>
      </c>
      <c r="AJ35" s="16">
        <f>SUM(AJ4:AJ34)</f>
        <v>1894</v>
      </c>
    </row>
    <row r="36" spans="1:36" ht="15.75" thickBot="1">
      <c r="A36" s="17" t="s">
        <v>36</v>
      </c>
      <c r="B36" s="18">
        <v>201</v>
      </c>
      <c r="C36" s="19">
        <v>201</v>
      </c>
      <c r="D36" s="17" t="s">
        <v>36</v>
      </c>
      <c r="E36" s="18">
        <v>111</v>
      </c>
      <c r="F36" s="19">
        <v>312</v>
      </c>
      <c r="G36" s="17" t="s">
        <v>36</v>
      </c>
      <c r="H36" s="18">
        <v>325</v>
      </c>
      <c r="I36" s="19">
        <v>637</v>
      </c>
      <c r="J36" s="17" t="s">
        <v>36</v>
      </c>
      <c r="K36" s="18">
        <v>193</v>
      </c>
      <c r="L36" s="19">
        <v>830</v>
      </c>
      <c r="M36" s="17" t="s">
        <v>36</v>
      </c>
      <c r="N36" s="18">
        <v>117</v>
      </c>
      <c r="O36" s="19">
        <v>947</v>
      </c>
      <c r="P36" s="17" t="s">
        <v>36</v>
      </c>
      <c r="Q36" s="18">
        <v>138</v>
      </c>
      <c r="R36" s="19">
        <v>1085</v>
      </c>
      <c r="S36" s="17" t="s">
        <v>36</v>
      </c>
      <c r="T36" s="18">
        <v>123</v>
      </c>
      <c r="U36" s="19">
        <v>1208</v>
      </c>
      <c r="V36" s="17" t="s">
        <v>36</v>
      </c>
      <c r="W36" s="18">
        <v>160</v>
      </c>
      <c r="X36" s="19">
        <v>1368</v>
      </c>
      <c r="Y36" s="17" t="s">
        <v>36</v>
      </c>
      <c r="Z36" s="18">
        <v>158</v>
      </c>
      <c r="AA36" s="19">
        <v>1526</v>
      </c>
      <c r="AB36" s="17" t="s">
        <v>36</v>
      </c>
      <c r="AC36" s="18">
        <v>38</v>
      </c>
      <c r="AD36" s="19">
        <v>1564</v>
      </c>
      <c r="AE36" s="17" t="s">
        <v>36</v>
      </c>
      <c r="AF36" s="18">
        <v>164</v>
      </c>
      <c r="AG36" s="19">
        <v>1728</v>
      </c>
      <c r="AH36" s="17" t="s">
        <v>36</v>
      </c>
      <c r="AI36" s="18">
        <v>104</v>
      </c>
      <c r="AJ36" s="19">
        <v>1832</v>
      </c>
    </row>
    <row r="37" spans="1:36">
      <c r="A37" s="20" t="s">
        <v>37</v>
      </c>
      <c r="B37" s="21">
        <f>B35-B36</f>
        <v>-55</v>
      </c>
      <c r="C37" s="22">
        <f>C35-C36</f>
        <v>-55</v>
      </c>
      <c r="D37" s="20" t="s">
        <v>37</v>
      </c>
      <c r="E37" s="21">
        <f>E35-E36</f>
        <v>34</v>
      </c>
      <c r="F37" s="22">
        <f>F35-F36</f>
        <v>-21</v>
      </c>
      <c r="G37" s="20" t="s">
        <v>37</v>
      </c>
      <c r="H37" s="21">
        <f>H35-H36</f>
        <v>-183</v>
      </c>
      <c r="I37" s="22">
        <f>I35-I36</f>
        <v>-204</v>
      </c>
      <c r="J37" s="20" t="s">
        <v>37</v>
      </c>
      <c r="K37" s="21">
        <f>K35-K36</f>
        <v>-28</v>
      </c>
      <c r="L37" s="22">
        <f>L35-L36</f>
        <v>-232</v>
      </c>
      <c r="M37" s="20" t="s">
        <v>37</v>
      </c>
      <c r="N37" s="21">
        <f>N35-N36</f>
        <v>81</v>
      </c>
      <c r="O37" s="22">
        <f>O35-O36</f>
        <v>-151</v>
      </c>
      <c r="P37" s="20" t="s">
        <v>37</v>
      </c>
      <c r="Q37" s="21">
        <f>Q35-Q36</f>
        <v>23</v>
      </c>
      <c r="R37" s="22">
        <f>R35-R36</f>
        <v>-128</v>
      </c>
      <c r="S37" s="20" t="s">
        <v>37</v>
      </c>
      <c r="T37" s="21">
        <f>T35-T36</f>
        <v>-4</v>
      </c>
      <c r="U37" s="22">
        <f>U35-U36</f>
        <v>-132</v>
      </c>
      <c r="V37" s="20" t="s">
        <v>37</v>
      </c>
      <c r="W37" s="21">
        <f>W35-W36</f>
        <v>70</v>
      </c>
      <c r="X37" s="22">
        <f>X35-X36</f>
        <v>-62</v>
      </c>
      <c r="Y37" s="20" t="s">
        <v>37</v>
      </c>
      <c r="Z37" s="21">
        <f>Z35-Z36</f>
        <v>-36</v>
      </c>
      <c r="AA37" s="22">
        <f>AA35-AA36</f>
        <v>-98</v>
      </c>
      <c r="AB37" s="20" t="s">
        <v>37</v>
      </c>
      <c r="AC37" s="21">
        <f>AC35-AC36</f>
        <v>190</v>
      </c>
      <c r="AD37" s="22">
        <f>AD35-AD36</f>
        <v>92</v>
      </c>
      <c r="AE37" s="20" t="s">
        <v>37</v>
      </c>
      <c r="AF37" s="21">
        <f>AF35-AF36</f>
        <v>-36</v>
      </c>
      <c r="AG37" s="22">
        <f>AG35-AG36</f>
        <v>56</v>
      </c>
      <c r="AH37" s="20" t="s">
        <v>37</v>
      </c>
      <c r="AI37" s="21">
        <f>AI35-AI36</f>
        <v>6</v>
      </c>
      <c r="AJ37" s="22">
        <f>AJ35-AJ36</f>
        <v>62</v>
      </c>
    </row>
    <row r="38" spans="1:36" ht="15.75" thickBot="1">
      <c r="A38" s="23" t="s">
        <v>38</v>
      </c>
      <c r="B38" s="24">
        <f>B37/B36</f>
        <v>-0.27363184079601988</v>
      </c>
      <c r="C38" s="25">
        <f>C37/C36</f>
        <v>-0.27363184079601988</v>
      </c>
      <c r="D38" s="23" t="s">
        <v>38</v>
      </c>
      <c r="E38" s="24">
        <f>E37/E36</f>
        <v>0.30630630630630629</v>
      </c>
      <c r="F38" s="25">
        <f>F37/F36</f>
        <v>-6.7307692307692304E-2</v>
      </c>
      <c r="G38" s="23" t="s">
        <v>38</v>
      </c>
      <c r="H38" s="24">
        <f>H37/H36</f>
        <v>-0.56307692307692303</v>
      </c>
      <c r="I38" s="25">
        <f>I37/I36</f>
        <v>-0.32025117739403453</v>
      </c>
      <c r="J38" s="23" t="s">
        <v>38</v>
      </c>
      <c r="K38" s="24">
        <f>K37/K36</f>
        <v>-0.14507772020725387</v>
      </c>
      <c r="L38" s="25">
        <f>L37/L36</f>
        <v>-0.27951807228915665</v>
      </c>
      <c r="M38" s="23" t="s">
        <v>38</v>
      </c>
      <c r="N38" s="24">
        <f>N37/N36</f>
        <v>0.69230769230769229</v>
      </c>
      <c r="O38" s="25">
        <f>O37/O36</f>
        <v>-0.15945089757127773</v>
      </c>
      <c r="P38" s="23" t="s">
        <v>38</v>
      </c>
      <c r="Q38" s="24">
        <f>Q37/Q36</f>
        <v>0.16666666666666666</v>
      </c>
      <c r="R38" s="25">
        <f>R37/R36</f>
        <v>-0.11797235023041475</v>
      </c>
      <c r="S38" s="23" t="s">
        <v>38</v>
      </c>
      <c r="T38" s="24">
        <f>T37/T36</f>
        <v>-3.2520325203252036E-2</v>
      </c>
      <c r="U38" s="25">
        <f>U37/U36</f>
        <v>-0.10927152317880795</v>
      </c>
      <c r="V38" s="23" t="s">
        <v>38</v>
      </c>
      <c r="W38" s="24">
        <f>W37/W36</f>
        <v>0.4375</v>
      </c>
      <c r="X38" s="25">
        <f>X37/X36</f>
        <v>-4.5321637426900582E-2</v>
      </c>
      <c r="Y38" s="23" t="s">
        <v>38</v>
      </c>
      <c r="Z38" s="24">
        <f>Z37/Z36</f>
        <v>-0.22784810126582278</v>
      </c>
      <c r="AA38" s="25">
        <f>AA37/AA36</f>
        <v>-6.4220183486238536E-2</v>
      </c>
      <c r="AB38" s="23" t="s">
        <v>38</v>
      </c>
      <c r="AC38" s="24">
        <f>AC37/AC36</f>
        <v>5</v>
      </c>
      <c r="AD38" s="25">
        <f>AD37/AD36</f>
        <v>5.8823529411764705E-2</v>
      </c>
      <c r="AE38" s="23" t="s">
        <v>38</v>
      </c>
      <c r="AF38" s="24">
        <f>AF37/AF36</f>
        <v>-0.21951219512195122</v>
      </c>
      <c r="AG38" s="25">
        <f>AG37/AG36</f>
        <v>3.2407407407407406E-2</v>
      </c>
      <c r="AH38" s="23" t="s">
        <v>38</v>
      </c>
      <c r="AI38" s="24">
        <f>AI37/AI36</f>
        <v>5.7692307692307696E-2</v>
      </c>
      <c r="AJ38" s="25">
        <f>AJ37/AJ36</f>
        <v>3.384279475982533E-2</v>
      </c>
    </row>
  </sheetData>
  <mergeCells count="24">
    <mergeCell ref="S2:U2"/>
    <mergeCell ref="V2:X2"/>
    <mergeCell ref="Y2:AA2"/>
    <mergeCell ref="AB2:AD2"/>
    <mergeCell ref="AE2:AG2"/>
    <mergeCell ref="AH2:AJ2"/>
    <mergeCell ref="A2:C2"/>
    <mergeCell ref="D2:F2"/>
    <mergeCell ref="G2:I2"/>
    <mergeCell ref="J2:L2"/>
    <mergeCell ref="M2:O2"/>
    <mergeCell ref="P2:R2"/>
    <mergeCell ref="S1:U1"/>
    <mergeCell ref="V1:X1"/>
    <mergeCell ref="Y1:AA1"/>
    <mergeCell ref="AB1:AD1"/>
    <mergeCell ref="AE1:AG1"/>
    <mergeCell ref="AH1:AJ1"/>
    <mergeCell ref="A1:C1"/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McCarthy</dc:creator>
  <cp:lastModifiedBy>Thomas McCarthy</cp:lastModifiedBy>
  <dcterms:created xsi:type="dcterms:W3CDTF">2023-03-17T18:46:53Z</dcterms:created>
  <dcterms:modified xsi:type="dcterms:W3CDTF">2023-03-17T18:51:02Z</dcterms:modified>
</cp:coreProperties>
</file>